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9AAF1B85-5BF4-46B3-8510-A17EB3D337AD}" xr6:coauthVersionLast="47" xr6:coauthVersionMax="47" xr10:uidLastSave="{00000000-0000-0000-0000-000000000000}"/>
  <bookViews>
    <workbookView xWindow="-108" yWindow="-108" windowWidth="23256" windowHeight="12456" tabRatio="743" xr2:uid="{00000000-000D-0000-FFFF-FFFF00000000}"/>
  </bookViews>
  <sheets>
    <sheet name="ℹ️ " sheetId="23" r:id="rId1"/>
    <sheet name="Drivers" sheetId="60" r:id="rId2"/>
    <sheet name="Income" sheetId="45" r:id="rId3"/>
    <sheet name="Metrics" sheetId="61" r:id="rId4"/>
    <sheet name="Analysis" sheetId="55" r:id="rId5"/>
  </sheets>
  <definedNames>
    <definedName name="BalCapital" localSheetId="1">Drivers!$N$38:$P$38</definedName>
    <definedName name="BalCapital">#REF!</definedName>
    <definedName name="BalCost" localSheetId="1">Drivers!$V$42:$X$42</definedName>
    <definedName name="BalCost">#REF!</definedName>
    <definedName name="BalGain" localSheetId="1">Drivers!$V$40:$X$40</definedName>
    <definedName name="BalGain">#REF!</definedName>
    <definedName name="BalMultiplier" localSheetId="1">Drivers!#REF!</definedName>
    <definedName name="BalMultiplier">#REF!</definedName>
    <definedName name="BalOverhead" localSheetId="1">Drivers!#REF!</definedName>
    <definedName name="BalOverhead">#REF!</definedName>
    <definedName name="BalROE" localSheetId="1">Drivers!$N$36:$P$36</definedName>
    <definedName name="BalROE">#REF!</definedName>
    <definedName name="BalServicing" localSheetId="1">Drivers!#REF!</definedName>
    <definedName name="BalServicing">#REF!</definedName>
    <definedName name="BalYears" localSheetId="1">Drivers!$V$44:$X$44</definedName>
    <definedName name="BalYears">#REF!</definedName>
    <definedName name="BalYield" localSheetId="1">Drivers!$N$34:$P$34</definedName>
    <definedName name="BalYield">#REF!</definedName>
    <definedName name="OnHandMonetizeBusiness" localSheetId="1">Drivers!#REF!</definedName>
    <definedName name="OnHandMonetizeBusiness">#REF!</definedName>
    <definedName name="OrigApplication" localSheetId="1">Drivers!$N$14:$P$14</definedName>
    <definedName name="OrigApplication">#REF!</definedName>
    <definedName name="OrigCommissions" localSheetId="1">Drivers!$R$20:$T$20</definedName>
    <definedName name="OrigCommissions">#REF!</definedName>
    <definedName name="OrigGain" localSheetId="1">Drivers!$R$29:$T$29</definedName>
    <definedName name="OrigGain">#REF!</definedName>
    <definedName name="OriginateMonetizeBusiness" localSheetId="1">Drivers!#REF!</definedName>
    <definedName name="OriginateMonetizeBusiness">#REF!</definedName>
    <definedName name="OriginateSellBusiness" localSheetId="1">Drivers!#REF!</definedName>
    <definedName name="OriginateSellBusiness">#REF!</definedName>
    <definedName name="OriginateSellHome" localSheetId="1">Drivers!#REF!</definedName>
    <definedName name="OriginateSellHome">#REF!</definedName>
    <definedName name="OrigInterest" localSheetId="1">Drivers!$R$27:$T$27</definedName>
    <definedName name="OrigInterest">#REF!</definedName>
    <definedName name="OrigMonths" localSheetId="1">Drivers!#REF!</definedName>
    <definedName name="OrigMonths">#REF!</definedName>
    <definedName name="OrigOrigination" localSheetId="1">Drivers!$N$16:$P$16</definedName>
    <definedName name="OrigOrigination">#REF!</definedName>
    <definedName name="OrigOverhead" localSheetId="1">Drivers!$R$24:$T$24</definedName>
    <definedName name="OrigOverhead">#REF!</definedName>
    <definedName name="OrigReferral" localSheetId="1">Drivers!$R$18:$T$18</definedName>
    <definedName name="OrigReferral">#REF!</definedName>
    <definedName name="OrigServicing" localSheetId="1">Drivers!$R$22:$T$22</definedName>
    <definedName name="OrigServicing">#REF!</definedName>
    <definedName name="_xlnm.Print_Area" localSheetId="4">Analysis!$C$2:$J$26</definedName>
    <definedName name="_xlnm.Print_Area" localSheetId="1">Drivers!$C$5:$AD$45</definedName>
    <definedName name="_xlnm.Print_Area" localSheetId="2">Income!$C$2:$AA$25</definedName>
    <definedName name="_xlnm.Print_Area" localSheetId="0">'ℹ️ '!$C$2:$H$6</definedName>
    <definedName name="_xlnm.Print_Area" localSheetId="3">Metrics!$C$2:$AA$31</definedName>
    <definedName name="_xlnm.Print_Titles" localSheetId="1">Drivers!$5:$6</definedName>
    <definedName name="_xlnm.Print_Titles" localSheetId="3">Metrics!$C:$D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61" l="1"/>
  <c r="F26" i="61"/>
  <c r="F27" i="61"/>
  <c r="AA17" i="45"/>
  <c r="AA16" i="45"/>
  <c r="AA13" i="45"/>
  <c r="AA12" i="45"/>
  <c r="AA11" i="45"/>
  <c r="AA26" i="61" s="1"/>
  <c r="Z11" i="45"/>
  <c r="Z26" i="61" s="1"/>
  <c r="V22" i="45"/>
  <c r="AB38" i="60" s="1"/>
  <c r="T22" i="45"/>
  <c r="S22" i="45"/>
  <c r="R22" i="45"/>
  <c r="P22" i="45"/>
  <c r="O22" i="45"/>
  <c r="N22" i="45"/>
  <c r="L22" i="45"/>
  <c r="K22" i="45"/>
  <c r="X22" i="45" s="1"/>
  <c r="I22" i="45"/>
  <c r="H22" i="45"/>
  <c r="F22" i="45"/>
  <c r="AA22" i="45" s="1"/>
  <c r="E22" i="45"/>
  <c r="V21" i="45"/>
  <c r="AB36" i="60" s="1"/>
  <c r="T21" i="45"/>
  <c r="S21" i="45"/>
  <c r="R21" i="45"/>
  <c r="P21" i="45"/>
  <c r="O21" i="45"/>
  <c r="N21" i="45"/>
  <c r="L21" i="45"/>
  <c r="K21" i="45"/>
  <c r="X21" i="45" s="1"/>
  <c r="I21" i="45"/>
  <c r="H21" i="45"/>
  <c r="F21" i="45"/>
  <c r="AA21" i="45" s="1"/>
  <c r="E21" i="45"/>
  <c r="AA9" i="45"/>
  <c r="AA16" i="61" s="1"/>
  <c r="V9" i="45"/>
  <c r="AB12" i="60" s="1"/>
  <c r="T9" i="45"/>
  <c r="S9" i="45"/>
  <c r="R9" i="45"/>
  <c r="P9" i="45"/>
  <c r="O9" i="45"/>
  <c r="N9" i="45"/>
  <c r="L9" i="45"/>
  <c r="I9" i="45"/>
  <c r="F9" i="45"/>
  <c r="Z8" i="45"/>
  <c r="Z9" i="61" s="1"/>
  <c r="Y8" i="45"/>
  <c r="Y16" i="61" s="1"/>
  <c r="X8" i="45"/>
  <c r="X16" i="61" s="1"/>
  <c r="V8" i="45"/>
  <c r="E9" i="61" s="1"/>
  <c r="T8" i="45"/>
  <c r="S8" i="45"/>
  <c r="S9" i="61" s="1"/>
  <c r="R8" i="45"/>
  <c r="R9" i="61" s="1"/>
  <c r="P8" i="45"/>
  <c r="P9" i="61" s="1"/>
  <c r="O8" i="45"/>
  <c r="O9" i="61" s="1"/>
  <c r="N8" i="45"/>
  <c r="N9" i="61" s="1"/>
  <c r="L8" i="45"/>
  <c r="L9" i="61" s="1"/>
  <c r="K8" i="45"/>
  <c r="K9" i="61" s="1"/>
  <c r="I8" i="45"/>
  <c r="H8" i="45"/>
  <c r="H9" i="61" s="1"/>
  <c r="E8" i="45"/>
  <c r="CA7" i="60"/>
  <c r="BV7" i="60"/>
  <c r="BW7" i="60" s="1"/>
  <c r="Q22" i="61"/>
  <c r="F18" i="61"/>
  <c r="BV15" i="60"/>
  <c r="BV14" i="60"/>
  <c r="BV13" i="60"/>
  <c r="BV9" i="60"/>
  <c r="BV8" i="60"/>
  <c r="CD15" i="60"/>
  <c r="CD14" i="60"/>
  <c r="CD13" i="60"/>
  <c r="BS15" i="60"/>
  <c r="BS14" i="60"/>
  <c r="BS13" i="60"/>
  <c r="BR15" i="60"/>
  <c r="BR14" i="60"/>
  <c r="BR13" i="60"/>
  <c r="BQ15" i="60"/>
  <c r="BQ14" i="60"/>
  <c r="BQ13" i="60"/>
  <c r="CA15" i="60"/>
  <c r="CA14" i="60"/>
  <c r="CA13" i="60"/>
  <c r="BP15" i="60"/>
  <c r="BP14" i="60"/>
  <c r="BP13" i="60"/>
  <c r="BO15" i="60"/>
  <c r="BO14" i="60"/>
  <c r="BO13" i="60"/>
  <c r="BN15" i="60"/>
  <c r="BN14" i="60"/>
  <c r="BN13" i="60"/>
  <c r="BM15" i="60"/>
  <c r="BM14" i="60"/>
  <c r="BM13" i="60"/>
  <c r="BL15" i="60"/>
  <c r="BL14" i="60"/>
  <c r="BL13" i="60"/>
  <c r="CD9" i="60"/>
  <c r="CD8" i="60"/>
  <c r="CD7" i="60"/>
  <c r="BS9" i="60"/>
  <c r="BS8" i="60"/>
  <c r="BS7" i="60"/>
  <c r="CC9" i="60"/>
  <c r="CC8" i="60"/>
  <c r="CC7" i="60"/>
  <c r="BR9" i="60"/>
  <c r="BR8" i="60"/>
  <c r="BR7" i="60"/>
  <c r="CB9" i="60"/>
  <c r="CB8" i="60"/>
  <c r="CB7" i="60"/>
  <c r="BQ9" i="60"/>
  <c r="BQ8" i="60"/>
  <c r="BQ7" i="60"/>
  <c r="CA9" i="60"/>
  <c r="CA8" i="60"/>
  <c r="BP9" i="60"/>
  <c r="BP8" i="60"/>
  <c r="BP7" i="60"/>
  <c r="BZ9" i="60"/>
  <c r="BZ8" i="60"/>
  <c r="BZ7" i="60"/>
  <c r="BO9" i="60"/>
  <c r="BO8" i="60"/>
  <c r="BO7" i="60"/>
  <c r="BY9" i="60"/>
  <c r="BY8" i="60"/>
  <c r="BY7" i="60"/>
  <c r="BN9" i="60"/>
  <c r="BN8" i="60"/>
  <c r="BN7" i="60"/>
  <c r="BM9" i="60"/>
  <c r="BM8" i="60"/>
  <c r="BM7" i="60"/>
  <c r="BL9" i="60"/>
  <c r="BL8" i="60"/>
  <c r="BL7" i="60"/>
  <c r="CW17" i="60" a="1"/>
  <c r="AA27" i="61" l="1"/>
  <c r="AB10" i="60"/>
  <c r="BP10" i="60"/>
  <c r="Z16" i="45"/>
  <c r="P17" i="45"/>
  <c r="O12" i="45"/>
  <c r="AA21" i="61"/>
  <c r="T16" i="61"/>
  <c r="Y13" i="45"/>
  <c r="O16" i="45"/>
  <c r="S21" i="61"/>
  <c r="AA18" i="45"/>
  <c r="AA18" i="61" s="1"/>
  <c r="CW17" i="60"/>
  <c r="E11" i="45"/>
  <c r="E26" i="61" s="1"/>
  <c r="Z20" i="45"/>
  <c r="Z19" i="61" s="1"/>
  <c r="O17" i="45"/>
  <c r="T21" i="61"/>
  <c r="K13" i="45"/>
  <c r="BM17" i="60"/>
  <c r="CD17" i="60"/>
  <c r="N13" i="45"/>
  <c r="O13" i="45"/>
  <c r="BY11" i="60"/>
  <c r="P13" i="45"/>
  <c r="O14" i="45"/>
  <c r="O28" i="61" s="1"/>
  <c r="L20" i="45"/>
  <c r="L23" i="45" s="1"/>
  <c r="P14" i="45"/>
  <c r="P28" i="61" s="1"/>
  <c r="N11" i="45"/>
  <c r="N26" i="61" s="1"/>
  <c r="P12" i="45"/>
  <c r="V20" i="45"/>
  <c r="Y16" i="45"/>
  <c r="P11" i="45"/>
  <c r="P26" i="61" s="1"/>
  <c r="P16" i="45"/>
  <c r="F20" i="45"/>
  <c r="F23" i="45" s="1"/>
  <c r="H13" i="45"/>
  <c r="Y11" i="45"/>
  <c r="Y26" i="61" s="1"/>
  <c r="H17" i="45"/>
  <c r="O11" i="45"/>
  <c r="O26" i="61" s="1"/>
  <c r="E14" i="45"/>
  <c r="E28" i="61" s="1"/>
  <c r="O20" i="45"/>
  <c r="O23" i="45" s="1"/>
  <c r="P20" i="45"/>
  <c r="P23" i="45" s="1"/>
  <c r="K12" i="45"/>
  <c r="BZ10" i="60"/>
  <c r="N16" i="45"/>
  <c r="Y12" i="45"/>
  <c r="Y14" i="45"/>
  <c r="Y28" i="61" s="1"/>
  <c r="Y17" i="45"/>
  <c r="CA12" i="60"/>
  <c r="AA20" i="45"/>
  <c r="AA19" i="61" s="1"/>
  <c r="H12" i="45"/>
  <c r="Z17" i="45"/>
  <c r="AB8" i="45"/>
  <c r="AB9" i="45"/>
  <c r="V12" i="45"/>
  <c r="I14" i="45"/>
  <c r="I28" i="61" s="1"/>
  <c r="I17" i="45"/>
  <c r="N20" i="45"/>
  <c r="N23" i="45" s="1"/>
  <c r="BL11" i="60"/>
  <c r="CA16" i="60"/>
  <c r="CB12" i="60"/>
  <c r="K10" i="45"/>
  <c r="K25" i="61" s="1"/>
  <c r="L12" i="45"/>
  <c r="E13" i="45"/>
  <c r="K14" i="45"/>
  <c r="K28" i="61" s="1"/>
  <c r="V14" i="45"/>
  <c r="K17" i="45"/>
  <c r="V17" i="45"/>
  <c r="AB28" i="60" s="1"/>
  <c r="X10" i="45"/>
  <c r="X25" i="61" s="1"/>
  <c r="X12" i="45"/>
  <c r="X14" i="45"/>
  <c r="X28" i="61" s="1"/>
  <c r="X17" i="45"/>
  <c r="E20" i="45"/>
  <c r="BS16" i="60"/>
  <c r="H11" i="45"/>
  <c r="H26" i="61" s="1"/>
  <c r="I13" i="45"/>
  <c r="N14" i="45"/>
  <c r="N28" i="61" s="1"/>
  <c r="H16" i="45"/>
  <c r="N17" i="45"/>
  <c r="Z12" i="45"/>
  <c r="Z14" i="45"/>
  <c r="Z28" i="61" s="1"/>
  <c r="L14" i="45"/>
  <c r="L28" i="61" s="1"/>
  <c r="V11" i="45"/>
  <c r="V13" i="45"/>
  <c r="AB20" i="60" s="1"/>
  <c r="I16" i="45"/>
  <c r="H20" i="45"/>
  <c r="H23" i="45" s="1"/>
  <c r="AA14" i="45"/>
  <c r="AA28" i="61" s="1"/>
  <c r="Y9" i="61"/>
  <c r="Z16" i="61"/>
  <c r="N12" i="45"/>
  <c r="E16" i="45"/>
  <c r="L17" i="45"/>
  <c r="Y10" i="45"/>
  <c r="Y25" i="61" s="1"/>
  <c r="K11" i="45"/>
  <c r="K26" i="61" s="1"/>
  <c r="L11" i="45"/>
  <c r="L26" i="61" s="1"/>
  <c r="E12" i="45"/>
  <c r="L13" i="45"/>
  <c r="K16" i="45"/>
  <c r="V16" i="45"/>
  <c r="I20" i="45"/>
  <c r="I23" i="45" s="1"/>
  <c r="X11" i="45"/>
  <c r="X26" i="61" s="1"/>
  <c r="X13" i="45"/>
  <c r="X16" i="45"/>
  <c r="X20" i="45"/>
  <c r="X23" i="45" s="1"/>
  <c r="F14" i="45"/>
  <c r="F28" i="61" s="1"/>
  <c r="F29" i="61" s="1"/>
  <c r="L16" i="45"/>
  <c r="E17" i="45"/>
  <c r="K20" i="45"/>
  <c r="K23" i="45" s="1"/>
  <c r="Y20" i="45"/>
  <c r="S16" i="61"/>
  <c r="BZ11" i="60"/>
  <c r="BN11" i="60"/>
  <c r="BR10" i="60"/>
  <c r="BP17" i="60"/>
  <c r="BR16" i="60"/>
  <c r="H10" i="45"/>
  <c r="H25" i="61" s="1"/>
  <c r="I12" i="45"/>
  <c r="H14" i="45"/>
  <c r="H28" i="61" s="1"/>
  <c r="Z13" i="45"/>
  <c r="Z21" i="45"/>
  <c r="Y22" i="45"/>
  <c r="Z22" i="45"/>
  <c r="Y21" i="45"/>
  <c r="BZ12" i="60"/>
  <c r="CA17" i="60"/>
  <c r="BY12" i="60"/>
  <c r="CC10" i="60"/>
  <c r="BO17" i="60"/>
  <c r="CD16" i="60"/>
  <c r="CD11" i="60"/>
  <c r="CB10" i="60"/>
  <c r="CA18" i="60"/>
  <c r="BM11" i="60"/>
  <c r="BP12" i="60"/>
  <c r="BS12" i="60"/>
  <c r="BQ18" i="60"/>
  <c r="CD18" i="60"/>
  <c r="CC11" i="60"/>
  <c r="CA10" i="60"/>
  <c r="CD10" i="60"/>
  <c r="BP11" i="60"/>
  <c r="CD12" i="60"/>
  <c r="CB11" i="60"/>
  <c r="BO10" i="60"/>
  <c r="BR11" i="60"/>
  <c r="CC12" i="60"/>
  <c r="CA11" i="60"/>
  <c r="BY10" i="60"/>
  <c r="BN12" i="60"/>
  <c r="BQ11" i="60"/>
  <c r="BN17" i="60"/>
  <c r="BR12" i="60"/>
  <c r="BN10" i="60"/>
  <c r="BL10" i="60"/>
  <c r="BQ12" i="60"/>
  <c r="BO11" i="60"/>
  <c r="BL12" i="60"/>
  <c r="BL18" i="60"/>
  <c r="BS17" i="60"/>
  <c r="BO12" i="60"/>
  <c r="BS10" i="60"/>
  <c r="BM10" i="60"/>
  <c r="BM12" i="60"/>
  <c r="BL17" i="60"/>
  <c r="BN16" i="60"/>
  <c r="BS11" i="60"/>
  <c r="BQ10" i="60"/>
  <c r="BQ16" i="60"/>
  <c r="BR18" i="60"/>
  <c r="BN18" i="60"/>
  <c r="BR17" i="60"/>
  <c r="BP18" i="60"/>
  <c r="BM16" i="60"/>
  <c r="BS18" i="60"/>
  <c r="BM18" i="60"/>
  <c r="BO18" i="60"/>
  <c r="BL16" i="60"/>
  <c r="BQ17" i="60"/>
  <c r="BP16" i="60"/>
  <c r="BO16" i="60"/>
  <c r="L21" i="61"/>
  <c r="I21" i="61"/>
  <c r="I16" i="61"/>
  <c r="E21" i="61"/>
  <c r="X21" i="61"/>
  <c r="P21" i="61"/>
  <c r="R21" i="61"/>
  <c r="X9" i="61"/>
  <c r="N16" i="61"/>
  <c r="P16" i="61"/>
  <c r="V21" i="61"/>
  <c r="N21" i="61"/>
  <c r="I9" i="61"/>
  <c r="O21" i="61"/>
  <c r="T9" i="61"/>
  <c r="E16" i="61"/>
  <c r="F16" i="61"/>
  <c r="L16" i="61"/>
  <c r="K21" i="61"/>
  <c r="H16" i="61"/>
  <c r="O16" i="61"/>
  <c r="V9" i="61"/>
  <c r="K16" i="61"/>
  <c r="V16" i="61"/>
  <c r="F21" i="61"/>
  <c r="R16" i="61"/>
  <c r="DH13" i="60"/>
  <c r="DJ12" i="60" s="1"/>
  <c r="H21" i="61"/>
  <c r="CW12" i="60" a="1"/>
  <c r="CW11" i="60" a="1"/>
  <c r="CW10" i="60" a="1"/>
  <c r="CW16" i="60" a="1"/>
  <c r="CW14" i="60" a="1"/>
  <c r="AA29" i="61" l="1"/>
  <c r="H11" i="61"/>
  <c r="V27" i="61"/>
  <c r="P11" i="61"/>
  <c r="H27" i="61"/>
  <c r="H29" i="61" s="1"/>
  <c r="H30" i="61" s="1"/>
  <c r="L27" i="61"/>
  <c r="L29" i="61" s="1"/>
  <c r="I11" i="61"/>
  <c r="AB16" i="60"/>
  <c r="AD16" i="60" s="1"/>
  <c r="V26" i="61"/>
  <c r="K10" i="61"/>
  <c r="K27" i="61"/>
  <c r="K29" i="61" s="1"/>
  <c r="K30" i="61" s="1"/>
  <c r="N10" i="61"/>
  <c r="N27" i="61"/>
  <c r="AB22" i="60"/>
  <c r="AD22" i="60" s="1"/>
  <c r="V28" i="61"/>
  <c r="E10" i="61"/>
  <c r="E27" i="61"/>
  <c r="E29" i="61" s="1"/>
  <c r="Z27" i="61"/>
  <c r="Z29" i="61" s="1"/>
  <c r="O27" i="61"/>
  <c r="O29" i="61" s="1"/>
  <c r="X27" i="61"/>
  <c r="X29" i="61" s="1"/>
  <c r="X30" i="61" s="1"/>
  <c r="Y27" i="61"/>
  <c r="Y29" i="61" s="1"/>
  <c r="Y30" i="61" s="1"/>
  <c r="P27" i="61"/>
  <c r="P29" i="61" s="1"/>
  <c r="I10" i="61"/>
  <c r="I27" i="61"/>
  <c r="I29" i="61" s="1"/>
  <c r="L11" i="61"/>
  <c r="K11" i="61"/>
  <c r="K12" i="61" s="1"/>
  <c r="H10" i="61"/>
  <c r="X11" i="61"/>
  <c r="X10" i="61"/>
  <c r="Y10" i="61"/>
  <c r="N11" i="61"/>
  <c r="Z11" i="61"/>
  <c r="AB26" i="60"/>
  <c r="AD26" i="60" s="1"/>
  <c r="V11" i="61"/>
  <c r="E11" i="61"/>
  <c r="O11" i="61"/>
  <c r="Z10" i="61"/>
  <c r="Y11" i="61"/>
  <c r="L10" i="61"/>
  <c r="AB18" i="60"/>
  <c r="AD18" i="60" s="1"/>
  <c r="V10" i="61"/>
  <c r="O10" i="61"/>
  <c r="P10" i="61"/>
  <c r="AD20" i="60"/>
  <c r="AD28" i="60"/>
  <c r="AD10" i="60"/>
  <c r="AD12" i="60"/>
  <c r="AD38" i="60"/>
  <c r="AD36" i="60"/>
  <c r="V23" i="45"/>
  <c r="AB40" i="60" s="1"/>
  <c r="AD40" i="60" s="1"/>
  <c r="AB34" i="60"/>
  <c r="AD34" i="60" s="1"/>
  <c r="P18" i="45"/>
  <c r="S11" i="45"/>
  <c r="S26" i="61" s="1"/>
  <c r="CW16" i="60"/>
  <c r="E23" i="45"/>
  <c r="E18" i="45"/>
  <c r="N18" i="45"/>
  <c r="O18" i="45"/>
  <c r="Y18" i="45"/>
  <c r="Y18" i="61" s="1"/>
  <c r="Y21" i="61"/>
  <c r="CW12" i="60"/>
  <c r="CW10" i="60"/>
  <c r="CW14" i="60"/>
  <c r="CW11" i="60"/>
  <c r="L18" i="45"/>
  <c r="X18" i="45"/>
  <c r="R20" i="45"/>
  <c r="R23" i="45" s="1"/>
  <c r="Z18" i="45"/>
  <c r="Z18" i="61" s="1"/>
  <c r="H15" i="45"/>
  <c r="K18" i="45"/>
  <c r="V18" i="45"/>
  <c r="AB30" i="60" s="1"/>
  <c r="AD30" i="60" s="1"/>
  <c r="H18" i="45"/>
  <c r="Y15" i="45"/>
  <c r="I18" i="45"/>
  <c r="R16" i="45"/>
  <c r="T14" i="45"/>
  <c r="T28" i="61" s="1"/>
  <c r="Z21" i="61"/>
  <c r="S13" i="45"/>
  <c r="AB22" i="45"/>
  <c r="K15" i="45"/>
  <c r="AA23" i="45"/>
  <c r="R14" i="45"/>
  <c r="R28" i="61" s="1"/>
  <c r="T16" i="45"/>
  <c r="T20" i="45"/>
  <c r="T19" i="61" s="1"/>
  <c r="S16" i="45"/>
  <c r="AB21" i="45"/>
  <c r="Z23" i="45"/>
  <c r="T12" i="45"/>
  <c r="Y19" i="61"/>
  <c r="Y23" i="45"/>
  <c r="X15" i="45"/>
  <c r="R17" i="45"/>
  <c r="S12" i="45"/>
  <c r="S14" i="45"/>
  <c r="S28" i="61" s="1"/>
  <c r="T11" i="45"/>
  <c r="T26" i="61" s="1"/>
  <c r="R11" i="45"/>
  <c r="R26" i="61" s="1"/>
  <c r="S20" i="45"/>
  <c r="R12" i="45"/>
  <c r="S17" i="45"/>
  <c r="T13" i="45"/>
  <c r="T17" i="45"/>
  <c r="R13" i="45"/>
  <c r="DI12" i="60"/>
  <c r="DH9" i="60"/>
  <c r="DH10" i="60"/>
  <c r="DI10" i="60"/>
  <c r="DI11" i="60"/>
  <c r="DH11" i="60"/>
  <c r="DJ11" i="60"/>
  <c r="DH8" i="60"/>
  <c r="DI8" i="60"/>
  <c r="DH12" i="60"/>
  <c r="DI9" i="60"/>
  <c r="DE13" i="60"/>
  <c r="G6" i="55" s="1"/>
  <c r="BW13" i="60"/>
  <c r="H12" i="61" l="1"/>
  <c r="N12" i="61"/>
  <c r="P12" i="61"/>
  <c r="V29" i="61"/>
  <c r="I12" i="61"/>
  <c r="Y12" i="61"/>
  <c r="Y13" i="61" s="1"/>
  <c r="R27" i="61"/>
  <c r="R29" i="61" s="1"/>
  <c r="N29" i="61"/>
  <c r="E12" i="61"/>
  <c r="E13" i="61" s="1"/>
  <c r="S27" i="61"/>
  <c r="S29" i="61" s="1"/>
  <c r="T27" i="61"/>
  <c r="T29" i="61" s="1"/>
  <c r="O12" i="61"/>
  <c r="L12" i="61"/>
  <c r="X12" i="61"/>
  <c r="Z12" i="61"/>
  <c r="Z13" i="61" s="1"/>
  <c r="S11" i="61"/>
  <c r="V12" i="61"/>
  <c r="S10" i="61"/>
  <c r="R10" i="61"/>
  <c r="T11" i="61"/>
  <c r="T10" i="61"/>
  <c r="R11" i="61"/>
  <c r="Y19" i="45"/>
  <c r="Y24" i="45" s="1"/>
  <c r="Y25" i="45" s="1"/>
  <c r="X19" i="45"/>
  <c r="X24" i="45" s="1"/>
  <c r="X25" i="45" s="1"/>
  <c r="R18" i="45"/>
  <c r="Y17" i="61"/>
  <c r="AB16" i="45"/>
  <c r="T23" i="45"/>
  <c r="T18" i="45"/>
  <c r="T18" i="61" s="1"/>
  <c r="K19" i="45"/>
  <c r="K24" i="45" s="1"/>
  <c r="H19" i="45"/>
  <c r="H24" i="45" s="1"/>
  <c r="H25" i="45" s="1"/>
  <c r="AB20" i="45"/>
  <c r="AB14" i="45"/>
  <c r="AB13" i="45"/>
  <c r="AB11" i="45"/>
  <c r="AB12" i="45"/>
  <c r="N10" i="45"/>
  <c r="S19" i="61"/>
  <c r="S23" i="45"/>
  <c r="AB17" i="45"/>
  <c r="S18" i="45"/>
  <c r="S18" i="61" s="1"/>
  <c r="X19" i="61"/>
  <c r="N15" i="45" l="1"/>
  <c r="N19" i="45" s="1"/>
  <c r="N24" i="45" s="1"/>
  <c r="N25" i="45" s="1"/>
  <c r="N25" i="61"/>
  <c r="N30" i="61" s="1"/>
  <c r="Y20" i="61"/>
  <c r="Y22" i="61" s="1"/>
  <c r="Y31" i="61"/>
  <c r="S12" i="61"/>
  <c r="T12" i="61"/>
  <c r="R12" i="61"/>
  <c r="K25" i="45"/>
  <c r="DP10" i="60"/>
  <c r="AB23" i="45"/>
  <c r="AB18" i="45"/>
  <c r="V19" i="61"/>
  <c r="K19" i="61"/>
  <c r="N19" i="61"/>
  <c r="I19" i="61"/>
  <c r="E19" i="61"/>
  <c r="O19" i="61"/>
  <c r="P19" i="61"/>
  <c r="L19" i="61"/>
  <c r="F19" i="61"/>
  <c r="H19" i="61"/>
  <c r="L18" i="61"/>
  <c r="I18" i="61"/>
  <c r="I13" i="61" l="1"/>
  <c r="L13" i="61"/>
  <c r="O18" i="61"/>
  <c r="O13" i="61"/>
  <c r="P18" i="61"/>
  <c r="P13" i="61"/>
  <c r="E18" i="61"/>
  <c r="V13" i="61" l="1"/>
  <c r="N18" i="61"/>
  <c r="N13" i="61"/>
  <c r="V18" i="61"/>
  <c r="K18" i="61"/>
  <c r="X18" i="61"/>
  <c r="H13" i="61"/>
  <c r="H18" i="61"/>
  <c r="X13" i="61" l="1"/>
  <c r="X17" i="61"/>
  <c r="K17" i="61"/>
  <c r="K13" i="61"/>
  <c r="BW8" i="60"/>
  <c r="BW9" i="60"/>
  <c r="K20" i="61" l="1"/>
  <c r="K22" i="61" s="1"/>
  <c r="K31" i="61"/>
  <c r="X20" i="61"/>
  <c r="X22" i="61" s="1"/>
  <c r="X31" i="61"/>
  <c r="E10" i="45"/>
  <c r="E25" i="61" s="1"/>
  <c r="Z10" i="45"/>
  <c r="BW10" i="60"/>
  <c r="BW12" i="60"/>
  <c r="BW11" i="60"/>
  <c r="DP11" i="60"/>
  <c r="E30" i="61" l="1"/>
  <c r="Z15" i="45"/>
  <c r="Z17" i="61" s="1"/>
  <c r="Z20" i="61" s="1"/>
  <c r="Z22" i="61" s="1"/>
  <c r="Z25" i="61"/>
  <c r="E15" i="45"/>
  <c r="N17" i="61"/>
  <c r="DP9" i="60"/>
  <c r="H17" i="61"/>
  <c r="Z19" i="45" l="1"/>
  <c r="Z24" i="45" s="1"/>
  <c r="Z25" i="45" s="1"/>
  <c r="H20" i="61"/>
  <c r="H22" i="61" s="1"/>
  <c r="H31" i="61"/>
  <c r="N20" i="61"/>
  <c r="N22" i="61" s="1"/>
  <c r="N31" i="61"/>
  <c r="Z31" i="61"/>
  <c r="Z30" i="61"/>
  <c r="E19" i="45"/>
  <c r="E17" i="61"/>
  <c r="BW15" i="60"/>
  <c r="P10" i="45" s="1"/>
  <c r="BW14" i="60"/>
  <c r="CP13" i="60"/>
  <c r="CP12" i="60"/>
  <c r="CP11" i="60"/>
  <c r="CP10" i="60"/>
  <c r="CP9" i="60"/>
  <c r="CP8" i="60"/>
  <c r="E20" i="61" l="1"/>
  <c r="E22" i="61" s="1"/>
  <c r="E31" i="61"/>
  <c r="P15" i="45"/>
  <c r="P19" i="45" s="1"/>
  <c r="P24" i="45" s="1"/>
  <c r="P25" i="45" s="1"/>
  <c r="P25" i="61"/>
  <c r="O10" i="45"/>
  <c r="F10" i="45"/>
  <c r="F25" i="61" s="1"/>
  <c r="AA10" i="45"/>
  <c r="I10" i="45"/>
  <c r="L10" i="45"/>
  <c r="L25" i="61" s="1"/>
  <c r="V10" i="45"/>
  <c r="V25" i="61" s="1"/>
  <c r="E24" i="45"/>
  <c r="BW18" i="60"/>
  <c r="T10" i="45" s="1"/>
  <c r="BW16" i="60"/>
  <c r="R10" i="45" s="1"/>
  <c r="BW17" i="60"/>
  <c r="S10" i="45" s="1"/>
  <c r="CW9" i="60" a="1"/>
  <c r="CW8" i="60" a="1"/>
  <c r="DR11" i="60" l="1"/>
  <c r="F30" i="61"/>
  <c r="O15" i="45"/>
  <c r="O19" i="45" s="1"/>
  <c r="O24" i="45" s="1"/>
  <c r="O25" i="45" s="1"/>
  <c r="O25" i="61"/>
  <c r="S15" i="45"/>
  <c r="S19" i="45" s="1"/>
  <c r="S24" i="45" s="1"/>
  <c r="S25" i="45" s="1"/>
  <c r="S25" i="61"/>
  <c r="R15" i="45"/>
  <c r="R19" i="45" s="1"/>
  <c r="R24" i="45" s="1"/>
  <c r="R25" i="45" s="1"/>
  <c r="R25" i="61"/>
  <c r="V30" i="61"/>
  <c r="I15" i="45"/>
  <c r="I19" i="45" s="1"/>
  <c r="I24" i="45" s="1"/>
  <c r="I25" i="45" s="1"/>
  <c r="I25" i="61"/>
  <c r="AA15" i="45"/>
  <c r="AA19" i="45" s="1"/>
  <c r="AA24" i="45" s="1"/>
  <c r="AA25" i="45" s="1"/>
  <c r="AA25" i="61"/>
  <c r="T15" i="45"/>
  <c r="T17" i="61" s="1"/>
  <c r="T20" i="61" s="1"/>
  <c r="T22" i="61" s="1"/>
  <c r="T25" i="61"/>
  <c r="P30" i="61"/>
  <c r="L30" i="61"/>
  <c r="V15" i="45"/>
  <c r="V17" i="61" s="1"/>
  <c r="V20" i="61" s="1"/>
  <c r="V22" i="61" s="1"/>
  <c r="AB14" i="60"/>
  <c r="AD14" i="60" s="1"/>
  <c r="CW8" i="60"/>
  <c r="CW9" i="60"/>
  <c r="L15" i="45"/>
  <c r="L19" i="45" s="1"/>
  <c r="L24" i="45" s="1"/>
  <c r="L25" i="45" s="1"/>
  <c r="E25" i="45"/>
  <c r="DP8" i="60"/>
  <c r="F15" i="45"/>
  <c r="AB10" i="45"/>
  <c r="P17" i="61"/>
  <c r="P20" i="61" s="1"/>
  <c r="P22" i="61" s="1"/>
  <c r="DW13" i="60"/>
  <c r="DX8" i="60" s="1"/>
  <c r="R18" i="61"/>
  <c r="CW13" i="60" a="1"/>
  <c r="O17" i="61" l="1"/>
  <c r="O20" i="61" s="1"/>
  <c r="O22" i="61" s="1"/>
  <c r="S17" i="61"/>
  <c r="S20" i="61" s="1"/>
  <c r="S22" i="61" s="1"/>
  <c r="AA17" i="61"/>
  <c r="AA20" i="61" s="1"/>
  <c r="AA22" i="61" s="1"/>
  <c r="I17" i="61"/>
  <c r="I20" i="61" s="1"/>
  <c r="I22" i="61" s="1"/>
  <c r="T19" i="45"/>
  <c r="T24" i="45" s="1"/>
  <c r="T25" i="45" s="1"/>
  <c r="T31" i="61"/>
  <c r="T30" i="61"/>
  <c r="R30" i="61"/>
  <c r="S30" i="61"/>
  <c r="I30" i="61"/>
  <c r="O30" i="61"/>
  <c r="AA30" i="61"/>
  <c r="P31" i="61"/>
  <c r="V31" i="61"/>
  <c r="V19" i="45"/>
  <c r="AB24" i="60"/>
  <c r="AD24" i="60" s="1"/>
  <c r="CW13" i="60"/>
  <c r="DQ10" i="60"/>
  <c r="F19" i="45"/>
  <c r="AB15" i="45"/>
  <c r="F17" i="61"/>
  <c r="T13" i="61"/>
  <c r="R13" i="61"/>
  <c r="S13" i="61"/>
  <c r="DW12" i="60"/>
  <c r="DX12" i="60"/>
  <c r="DY12" i="60"/>
  <c r="DX10" i="60"/>
  <c r="DW10" i="60"/>
  <c r="DW9" i="60"/>
  <c r="DW11" i="60"/>
  <c r="DW8" i="60"/>
  <c r="DY11" i="60"/>
  <c r="DX9" i="60"/>
  <c r="DX11" i="60"/>
  <c r="DQ9" i="60"/>
  <c r="DT13" i="60"/>
  <c r="L17" i="61"/>
  <c r="R19" i="61"/>
  <c r="CW15" i="60" a="1"/>
  <c r="O31" i="61" l="1"/>
  <c r="AA31" i="61"/>
  <c r="I31" i="61"/>
  <c r="S31" i="61"/>
  <c r="L20" i="61"/>
  <c r="L22" i="61" s="1"/>
  <c r="L31" i="61"/>
  <c r="F20" i="61"/>
  <c r="F22" i="61" s="1"/>
  <c r="F31" i="61"/>
  <c r="V24" i="45"/>
  <c r="DP13" i="60" s="1"/>
  <c r="DM13" i="60" s="1"/>
  <c r="I6" i="55" s="1"/>
  <c r="AB32" i="60"/>
  <c r="AD32" i="60" s="1"/>
  <c r="CW15" i="60"/>
  <c r="CW18" i="60" s="1"/>
  <c r="F24" i="45"/>
  <c r="DQ8" i="60" s="1"/>
  <c r="AB19" i="45"/>
  <c r="DQ11" i="60"/>
  <c r="R17" i="61"/>
  <c r="DR12" i="60"/>
  <c r="DP12" i="60"/>
  <c r="DQ12" i="60"/>
  <c r="CM13" i="60" l="1"/>
  <c r="CN14" i="60" s="1"/>
  <c r="R20" i="61"/>
  <c r="R22" i="61" s="1"/>
  <c r="R31" i="61"/>
  <c r="V25" i="45"/>
  <c r="AB44" i="60" s="1"/>
  <c r="AB42" i="60"/>
  <c r="AD42" i="60" s="1"/>
  <c r="CM10" i="60"/>
  <c r="CN12" i="60" s="1"/>
  <c r="CM7" i="60"/>
  <c r="CN8" i="60" s="1"/>
  <c r="CG10" i="60"/>
  <c r="CH12" i="60" s="1"/>
  <c r="CJ10" i="60"/>
  <c r="CK12" i="60" s="1"/>
  <c r="CG13" i="60"/>
  <c r="CH15" i="60" s="1"/>
  <c r="CJ7" i="60"/>
  <c r="CK8" i="60" s="1"/>
  <c r="CG16" i="60"/>
  <c r="CH18" i="60" s="1"/>
  <c r="CJ13" i="60"/>
  <c r="CK15" i="60" s="1"/>
  <c r="CG7" i="60"/>
  <c r="CH8" i="60" s="1"/>
  <c r="F25" i="45"/>
  <c r="AB24" i="45"/>
  <c r="CN15" i="60" l="1"/>
  <c r="CX17" i="60" s="1"/>
  <c r="CN11" i="60"/>
  <c r="CX16" i="60" s="1"/>
  <c r="CH11" i="60"/>
  <c r="CX9" i="60" s="1"/>
  <c r="CN9" i="60"/>
  <c r="CX15" i="60" s="1"/>
  <c r="CH14" i="60"/>
  <c r="CX10" i="60" s="1"/>
  <c r="CH17" i="60"/>
  <c r="CX11" i="60" s="1"/>
  <c r="CK9" i="60"/>
  <c r="CX12" i="60" s="1"/>
  <c r="CK11" i="60"/>
  <c r="CX13" i="60" s="1"/>
  <c r="CK14" i="60"/>
  <c r="CX14" i="60" s="1"/>
  <c r="CH9" i="60"/>
  <c r="CX8" i="60" s="1"/>
  <c r="CY16" i="60" l="1"/>
  <c r="CY14" i="60"/>
  <c r="CY17" i="60"/>
  <c r="CY9" i="60"/>
  <c r="CY10" i="60"/>
  <c r="CY12" i="60"/>
  <c r="CY15" i="60"/>
  <c r="CY11" i="60"/>
  <c r="CY13" i="60"/>
  <c r="CY8" i="60"/>
  <c r="DC8" i="60" l="1"/>
  <c r="DC14" i="60"/>
  <c r="DC10" i="60"/>
  <c r="DA14" i="60"/>
  <c r="DA10" i="60"/>
  <c r="DC17" i="60"/>
  <c r="DC13" i="60"/>
  <c r="DC9" i="60"/>
  <c r="DC12" i="60"/>
  <c r="DA15" i="60"/>
  <c r="DA17" i="60"/>
  <c r="DA13" i="60"/>
  <c r="DA9" i="60"/>
  <c r="DA11" i="60"/>
  <c r="DC16" i="60"/>
  <c r="DA16" i="60"/>
  <c r="DA12" i="60"/>
  <c r="DA8" i="60"/>
  <c r="DC11" i="60"/>
  <c r="DC15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C889F12D-5E7F-49FA-AB97-454A33EB7750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" authorId="0" shapeId="0" xr:uid="{D873DA2F-5F90-42E1-B596-099C504540DA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D008CFEA-8D13-4D95-B277-2D405E1D8E47}">
      <text/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EE920EFF-31A1-4DB0-B73C-5972CBA2B512}">
      <text/>
    </comment>
    <comment ref="C22" authorId="0" shapeId="0" xr:uid="{80175D8B-0C65-47BE-B3BB-5B733D3FD7F2}">
      <text>
        <r>
          <rPr>
            <sz val="9.5"/>
            <color indexed="81"/>
            <rFont val="Calibri"/>
            <family val="2"/>
            <scheme val="minor"/>
          </rPr>
          <t>Loan volume at which EBIT = 0.  For scenarios with
multiple splits (eg. The 4 driver mixes off to the right)
the value displayed may be one of many possible solutions.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D0EA4163-041B-4792-B63D-FEF6F82B5301}">
      <text/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<sst xmlns="http://schemas.openxmlformats.org/spreadsheetml/2006/main" count="426" uniqueCount="221">
  <si>
    <t>Commissions</t>
  </si>
  <si>
    <t>Retail</t>
  </si>
  <si>
    <t>info</t>
  </si>
  <si>
    <t>Interest</t>
  </si>
  <si>
    <t>Business</t>
  </si>
  <si>
    <t>Home</t>
  </si>
  <si>
    <t>Accounts</t>
  </si>
  <si>
    <t>Offices</t>
  </si>
  <si>
    <t>Hubs</t>
  </si>
  <si>
    <t>Operating Income</t>
  </si>
  <si>
    <t>Total</t>
  </si>
  <si>
    <t>Portfolios</t>
  </si>
  <si>
    <t>Gain on Sale</t>
  </si>
  <si>
    <t>Orig Fees/Points</t>
  </si>
  <si>
    <t>Direct Fixed</t>
  </si>
  <si>
    <t>Indirect Fixed</t>
  </si>
  <si>
    <t>FHA</t>
  </si>
  <si>
    <t>Conform</t>
  </si>
  <si>
    <t>Referral fee</t>
  </si>
  <si>
    <t>Jumbo</t>
  </si>
  <si>
    <t>Strategy</t>
  </si>
  <si>
    <t>Market</t>
  </si>
  <si>
    <t>Distribution Channel</t>
  </si>
  <si>
    <t>Revenue</t>
  </si>
  <si>
    <t>Cost of Sales</t>
  </si>
  <si>
    <t>Origination volume</t>
  </si>
  <si>
    <t>Operating Expense</t>
  </si>
  <si>
    <t>WhSale</t>
  </si>
  <si>
    <t>Sale</t>
  </si>
  <si>
    <t>Loan Volume</t>
  </si>
  <si>
    <t>Gross Margin</t>
  </si>
  <si>
    <t>Operating Margin</t>
  </si>
  <si>
    <t>On-hand</t>
  </si>
  <si>
    <t>Source</t>
  </si>
  <si>
    <t>Application fees</t>
  </si>
  <si>
    <t>Product</t>
  </si>
  <si>
    <t>Call Ctr</t>
  </si>
  <si>
    <t>Servicing fees</t>
  </si>
  <si>
    <t>Overhead</t>
  </si>
  <si>
    <t>Originate</t>
  </si>
  <si>
    <t>Op Income</t>
  </si>
  <si>
    <t>On-hand balance</t>
  </si>
  <si>
    <t>Slope</t>
  </si>
  <si>
    <t>Rank</t>
  </si>
  <si>
    <t>Value</t>
  </si>
  <si>
    <t>Drivers</t>
  </si>
  <si>
    <t>OH</t>
  </si>
  <si>
    <t>Int</t>
  </si>
  <si>
    <t>Gain</t>
  </si>
  <si>
    <t>App</t>
  </si>
  <si>
    <t>Orig</t>
  </si>
  <si>
    <t>Svc</t>
  </si>
  <si>
    <t>Ref</t>
  </si>
  <si>
    <t>Com</t>
  </si>
  <si>
    <t>Dir</t>
  </si>
  <si>
    <t>Ind</t>
  </si>
  <si>
    <t xml:space="preserve">Servicing fee </t>
  </si>
  <si>
    <t xml:space="preserve">Referral fee </t>
  </si>
  <si>
    <t xml:space="preserve">Commission </t>
  </si>
  <si>
    <t xml:space="preserve">Overhead </t>
  </si>
  <si>
    <t>Num</t>
  </si>
  <si>
    <t>Val</t>
  </si>
  <si>
    <t>Driver Sensitivity</t>
  </si>
  <si>
    <t xml:space="preserve">Gain on sale </t>
  </si>
  <si>
    <t xml:space="preserve">Application fee </t>
  </si>
  <si>
    <t xml:space="preserve">Origination fee </t>
  </si>
  <si>
    <t>e</t>
  </si>
  <si>
    <t>f</t>
  </si>
  <si>
    <t>h</t>
  </si>
  <si>
    <t>i</t>
  </si>
  <si>
    <t>k</t>
  </si>
  <si>
    <t>l</t>
  </si>
  <si>
    <t xml:space="preserve">Interest </t>
  </si>
  <si>
    <t xml:space="preserve">Direct fixed </t>
  </si>
  <si>
    <t xml:space="preserve">Indirect fixed </t>
  </si>
  <si>
    <t>Origination Margin</t>
  </si>
  <si>
    <t>Monetize</t>
  </si>
  <si>
    <t>Sell</t>
  </si>
  <si>
    <t>Analysis</t>
  </si>
  <si>
    <t>Legend</t>
  </si>
  <si>
    <t xml:space="preserve"> FHA</t>
  </si>
  <si>
    <t xml:space="preserve"> Conform</t>
  </si>
  <si>
    <t xml:space="preserve"> Jumbo</t>
  </si>
  <si>
    <t xml:space="preserve"> Wholesale</t>
  </si>
  <si>
    <t xml:space="preserve"> Call Center</t>
  </si>
  <si>
    <t>Metric</t>
  </si>
  <si>
    <t>Whsale</t>
  </si>
  <si>
    <t>Row</t>
  </si>
  <si>
    <t xml:space="preserve"> </t>
  </si>
  <si>
    <t>Column</t>
  </si>
  <si>
    <t>Lookup</t>
  </si>
  <si>
    <t xml:space="preserve"> Split</t>
  </si>
  <si>
    <t>Originations</t>
  </si>
  <si>
    <t>Bus</t>
  </si>
  <si>
    <t>Mon</t>
  </si>
  <si>
    <t xml:space="preserve"> Retail</t>
  </si>
  <si>
    <t>Units</t>
  </si>
  <si>
    <t xml:space="preserve"> Call Ctr</t>
  </si>
  <si>
    <t>Bar 1</t>
  </si>
  <si>
    <t>Bar 2</t>
  </si>
  <si>
    <t>Bar 3</t>
  </si>
  <si>
    <t>Val 1</t>
  </si>
  <si>
    <t>Val 2</t>
  </si>
  <si>
    <t>Val 3</t>
  </si>
  <si>
    <t>Key Metrics</t>
  </si>
  <si>
    <t>Product specs</t>
  </si>
  <si>
    <t>Sensitivity graph selector</t>
  </si>
  <si>
    <t>Sensitivity calculation</t>
  </si>
  <si>
    <r>
      <t>Book</t>
    </r>
    <r>
      <rPr>
        <sz val="8.5"/>
        <rFont val="Segoe UI"/>
        <family val="2"/>
      </rPr>
      <t xml:space="preserve">  (Drivers tab)</t>
    </r>
  </si>
  <si>
    <t>Unit</t>
  </si>
  <si>
    <t>Servicing fee</t>
  </si>
  <si>
    <t>Overhead cost</t>
  </si>
  <si>
    <t>Application fee</t>
  </si>
  <si>
    <t>Origination fee</t>
  </si>
  <si>
    <t>Coupon</t>
  </si>
  <si>
    <t>Sales gain</t>
  </si>
  <si>
    <t>Mos. held</t>
  </si>
  <si>
    <t>Unadj. Yield</t>
  </si>
  <si>
    <t>Ret. on Equity</t>
  </si>
  <si>
    <t>Capital Req'd</t>
  </si>
  <si>
    <t>Deferred gain</t>
  </si>
  <si>
    <t>Deferred cost</t>
  </si>
  <si>
    <t>Yrs. remaining</t>
  </si>
  <si>
    <t>Sensitivity graph</t>
  </si>
  <si>
    <t>Fixed</t>
  </si>
  <si>
    <t>Costs</t>
  </si>
  <si>
    <r>
      <t xml:space="preserve">Volume </t>
    </r>
    <r>
      <rPr>
        <sz val="8.5"/>
        <color rgb="FFC00000"/>
        <rFont val="Segoe UI"/>
        <family val="2"/>
      </rPr>
      <t>$m</t>
    </r>
  </si>
  <si>
    <t>Sensitivity tables</t>
  </si>
  <si>
    <t xml:space="preserve"> In millions</t>
  </si>
  <si>
    <t>—</t>
  </si>
  <si>
    <t xml:space="preserve"> - COGS</t>
  </si>
  <si>
    <t xml:space="preserve"> - Overhead</t>
  </si>
  <si>
    <t>Fixed Costs</t>
  </si>
  <si>
    <t>Breakeven volume</t>
  </si>
  <si>
    <t>Origination margin</t>
  </si>
  <si>
    <t xml:space="preserve">  per $1,000 volume</t>
  </si>
  <si>
    <t>Contribution margin</t>
  </si>
  <si>
    <t>OnHand</t>
  </si>
  <si>
    <t>Loan Volume splits</t>
  </si>
  <si>
    <t>Operating Income splits</t>
  </si>
  <si>
    <r>
      <t xml:space="preserve">Unit cost </t>
    </r>
    <r>
      <rPr>
        <sz val="8.5"/>
        <color rgb="FFC00000"/>
        <rFont val="Segoe UI"/>
        <family val="2"/>
      </rPr>
      <t>$k</t>
    </r>
  </si>
  <si>
    <r>
      <t xml:space="preserve">Overhead </t>
    </r>
    <r>
      <rPr>
        <sz val="8.5"/>
        <color rgb="FFC00000"/>
        <rFont val="Segoe UI"/>
        <family val="2"/>
      </rPr>
      <t>$k</t>
    </r>
  </si>
  <si>
    <t>Comm</t>
  </si>
  <si>
    <t>Mult</t>
  </si>
  <si>
    <t>F</t>
  </si>
  <si>
    <t>J</t>
  </si>
  <si>
    <t>R</t>
  </si>
  <si>
    <t>W</t>
  </si>
  <si>
    <t>Co</t>
  </si>
  <si>
    <t>Ca</t>
  </si>
  <si>
    <t>Or</t>
  </si>
  <si>
    <t>S</t>
  </si>
  <si>
    <t>H</t>
  </si>
  <si>
    <t>B</t>
  </si>
  <si>
    <t>M</t>
  </si>
  <si>
    <t>On</t>
  </si>
  <si>
    <t>Interest graph</t>
  </si>
  <si>
    <t>Op inc graph</t>
  </si>
  <si>
    <t>Loan vol graph</t>
  </si>
  <si>
    <t xml:space="preserve">Orig </t>
  </si>
  <si>
    <t xml:space="preserve">OnHand </t>
  </si>
  <si>
    <t xml:space="preserve">Sell </t>
  </si>
  <si>
    <t xml:space="preserve">Mon </t>
  </si>
  <si>
    <t xml:space="preserve">Home </t>
  </si>
  <si>
    <t xml:space="preserve">Bus </t>
  </si>
  <si>
    <t xml:space="preserve">FHA </t>
  </si>
  <si>
    <t xml:space="preserve">Conform </t>
  </si>
  <si>
    <t xml:space="preserve">Jumbo </t>
  </si>
  <si>
    <t xml:space="preserve">Retail </t>
  </si>
  <si>
    <t xml:space="preserve">Whsale </t>
  </si>
  <si>
    <t xml:space="preserve">Call Ctr </t>
  </si>
  <si>
    <t>% increase in Operating Income when a driver's value increases by 1%</t>
  </si>
  <si>
    <t>Income</t>
  </si>
  <si>
    <t>Loan volume</t>
  </si>
  <si>
    <t>Fixed costs</t>
  </si>
  <si>
    <t>Cost of sales</t>
  </si>
  <si>
    <t>Fees</t>
  </si>
  <si>
    <t>Direct costs</t>
  </si>
  <si>
    <t>Driver sensitivity</t>
  </si>
  <si>
    <t>Variable costs</t>
  </si>
  <si>
    <t>Indirect cost</t>
  </si>
  <si>
    <t>Volume split</t>
  </si>
  <si>
    <t>Op. Income split</t>
  </si>
  <si>
    <t>KPIs &amp; Analysis</t>
  </si>
  <si>
    <t>This model generates Operating Income along 5 dimensions:</t>
  </si>
  <si>
    <t>Summary</t>
  </si>
  <si>
    <t>Origination vol.</t>
  </si>
  <si>
    <t>% Vol</t>
  </si>
  <si>
    <t>$ mil</t>
  </si>
  <si>
    <t xml:space="preserve">  Application fees</t>
  </si>
  <si>
    <t xml:space="preserve">  Gain on Sale</t>
  </si>
  <si>
    <t xml:space="preserve">  Interest</t>
  </si>
  <si>
    <t xml:space="preserve">  Orig Fees/Points</t>
  </si>
  <si>
    <t xml:space="preserve">  Servicing fees</t>
  </si>
  <si>
    <t xml:space="preserve"> Commissions</t>
  </si>
  <si>
    <t xml:space="preserve"> Referral fees</t>
  </si>
  <si>
    <t>Referral fees</t>
  </si>
  <si>
    <t xml:space="preserve">  Overhead</t>
  </si>
  <si>
    <t xml:space="preserve">  Direct Fixed</t>
  </si>
  <si>
    <t xml:space="preserve">  Indirect Fixed</t>
  </si>
  <si>
    <t>Product Specs</t>
  </si>
  <si>
    <t>Volume</t>
  </si>
  <si>
    <t>Non-Interest Income Ratio</t>
  </si>
  <si>
    <t>Breakeven Volume</t>
  </si>
  <si>
    <t xml:space="preserve"> + App &amp; Orig fees</t>
  </si>
  <si>
    <t>Net Breakeven</t>
  </si>
  <si>
    <t>Net Margin</t>
  </si>
  <si>
    <t>NIR ratio</t>
  </si>
  <si>
    <t>Revenue Concentration Index</t>
  </si>
  <si>
    <t>App + Orig fees</t>
  </si>
  <si>
    <t>Servicing Fees</t>
  </si>
  <si>
    <t>Revenue Mix</t>
  </si>
  <si>
    <t>Non-iterest revenue</t>
  </si>
  <si>
    <t xml:space="preserve"> - Referral &amp; Commisn's</t>
  </si>
  <si>
    <t>User input</t>
  </si>
  <si>
    <t>Principal</t>
  </si>
  <si>
    <t>Summary table</t>
  </si>
  <si>
    <t>Oper. Income</t>
  </si>
  <si>
    <t>Oper. Margin</t>
  </si>
  <si>
    <t>HHI index</t>
  </si>
  <si>
    <r>
      <t>Note: Model is populated with sample data.  Select</t>
    </r>
    <r>
      <rPr>
        <sz val="9"/>
        <color rgb="FF9A0000"/>
        <rFont val="Calibri"/>
        <family val="2"/>
        <scheme val="minor"/>
      </rPr>
      <t xml:space="preserve"> &gt; </t>
    </r>
    <r>
      <rPr>
        <i/>
        <sz val="9"/>
        <color rgb="FF9A0000"/>
        <rFont val="Calibri"/>
        <family val="2"/>
        <scheme val="minor"/>
      </rPr>
      <t>Delete to clear driver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</si>
</sst>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0.0%"/>
    <numFmt numFmtId="165" formatCode="#,##0;[Red]#,##0"/>
    <numFmt numFmtId="166" formatCode="#,##0;[Red]\-#,##0"/>
    <numFmt numFmtId="167" formatCode="#,##0.0;[Red]#,##0.0"/>
    <numFmt numFmtId="168" formatCode="#,##0.0000;[Red]#,##0.0000"/>
    <numFmt numFmtId="169" formatCode="0.0"/>
    <numFmt numFmtId="170" formatCode="&quot;$&quot;#,##0&quot;m&quot;;\-&quot;$&quot;#,##0&quot;m&quot;"/>
    <numFmt numFmtId="171" formatCode="#,##0.00;[Red]\-#,##0.00"/>
    <numFmt numFmtId="172" formatCode="&quot;$&quot;#,##0;\-&quot;$&quot;#,##0"/>
    <numFmt numFmtId="173" formatCode="&quot;$&quot;#,##0.00"/>
    <numFmt numFmtId="174" formatCode="#,##0.000;[Red]\-#,##0.000"/>
    <numFmt numFmtId="175" formatCode="&quot;$&quot;#,##0.0;\-&quot;$&quot;#,##0.0"/>
    <numFmt numFmtId="176" formatCode="#,##0.0"/>
    <numFmt numFmtId="177" formatCode="#,##0.0;[Red]\-#,##0.0"/>
    <numFmt numFmtId="178" formatCode="0.0%;[Red]\-0.0%"/>
    <numFmt numFmtId="179" formatCode="#,##0.000;[Red]#,##0.000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sz val="9.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7"/>
      <color rgb="FFFF0000"/>
      <name val="Calibri"/>
      <family val="2"/>
      <scheme val="minor"/>
    </font>
    <font>
      <sz val="9.5"/>
      <color indexed="81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8"/>
      <color theme="0" tint="-4.9989318521683403E-2"/>
      <name val="Calibri"/>
      <family val="2"/>
      <scheme val="minor"/>
    </font>
    <font>
      <sz val="8"/>
      <color theme="1"/>
      <name val="Segoe UI"/>
      <family val="2"/>
    </font>
    <font>
      <sz val="8"/>
      <name val="Segoe UI Semibold"/>
      <family val="2"/>
    </font>
    <font>
      <sz val="8.5"/>
      <name val="Segoe UI"/>
      <family val="2"/>
    </font>
    <font>
      <sz val="8.5"/>
      <color theme="1"/>
      <name val="Segoe UI"/>
      <family val="2"/>
    </font>
    <font>
      <sz val="8.5"/>
      <name val="Segoe UI Semibold"/>
      <family val="2"/>
    </font>
    <font>
      <sz val="9.5"/>
      <color rgb="FFC00000"/>
      <name val="Calibri"/>
      <family val="2"/>
      <scheme val="minor"/>
    </font>
    <font>
      <sz val="8.5"/>
      <color theme="1"/>
      <name val="Calibri"/>
      <family val="2"/>
      <scheme val="minor"/>
    </font>
    <font>
      <sz val="8.5"/>
      <name val="Calibri"/>
      <family val="2"/>
      <scheme val="minor"/>
    </font>
    <font>
      <sz val="8.5"/>
      <color theme="1"/>
      <name val="Segoe UI Semibold"/>
      <family val="2"/>
    </font>
    <font>
      <sz val="8.5"/>
      <color rgb="FFC00000"/>
      <name val="Segoe UI"/>
      <family val="2"/>
    </font>
    <font>
      <b/>
      <sz val="8.5"/>
      <name val="Calibri"/>
      <family val="2"/>
      <scheme val="minor"/>
    </font>
    <font>
      <sz val="8"/>
      <name val="Segoe UI"/>
      <family val="2"/>
    </font>
    <font>
      <sz val="11"/>
      <name val="Segoe UI Variable Display Semib"/>
    </font>
    <font>
      <sz val="8"/>
      <name val="Segoe UI Variable Display Semib"/>
    </font>
    <font>
      <sz val="8"/>
      <color theme="1"/>
      <name val="Segoe UI Variable Display Semib"/>
    </font>
    <font>
      <sz val="10"/>
      <name val="Segoe UI Variable Display Semib"/>
    </font>
    <font>
      <sz val="11"/>
      <name val="Calibri"/>
      <family val="2"/>
      <scheme val="minor"/>
    </font>
    <font>
      <u/>
      <sz val="8"/>
      <color rgb="FF820000"/>
      <name val="Calibri"/>
      <family val="2"/>
      <scheme val="minor"/>
    </font>
    <font>
      <b/>
      <sz val="10.5"/>
      <name val="Calibri"/>
      <family val="2"/>
      <scheme val="minor"/>
    </font>
    <font>
      <sz val="1"/>
      <color theme="0" tint="-4.9989318521683403E-2"/>
      <name val="Calibri"/>
      <family val="2"/>
      <scheme val="minor"/>
    </font>
    <font>
      <u/>
      <sz val="1"/>
      <color theme="0" tint="-4.9989318521683403E-2"/>
      <name val="Calibri"/>
      <family val="2"/>
      <scheme val="minor"/>
    </font>
    <font>
      <sz val="8"/>
      <color theme="1"/>
      <name val="Segoe UI Semibold"/>
      <family val="2"/>
    </font>
    <font>
      <sz val="8.5"/>
      <color rgb="FFFF0000"/>
      <name val="Segoe UI"/>
      <family val="2"/>
    </font>
    <font>
      <sz val="9"/>
      <name val="Segoe UI Variable Display Semib"/>
    </font>
    <font>
      <sz val="10"/>
      <color theme="1"/>
      <name val="Segoe UI Variable Display Semib"/>
    </font>
    <font>
      <sz val="10"/>
      <name val="Segoe UI Semibold"/>
      <family val="2"/>
    </font>
    <font>
      <i/>
      <sz val="9"/>
      <color rgb="FF9A0000"/>
      <name val="Calibri"/>
      <family val="2"/>
      <scheme val="minor"/>
    </font>
    <font>
      <sz val="9"/>
      <color rgb="FF9A00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E2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 tint="-0.14999847407452621"/>
        <bgColor theme="1"/>
      </patternFill>
    </fill>
    <fill>
      <patternFill patternType="solid">
        <fgColor rgb="FFE5E2D3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rgb="FFF3F2E9"/>
        <bgColor indexed="64"/>
      </patternFill>
    </fill>
    <fill>
      <patternFill patternType="solid">
        <fgColor rgb="FFD6E2EE"/>
        <bgColor theme="1"/>
      </patternFill>
    </fill>
    <fill>
      <patternFill patternType="solid">
        <fgColor rgb="FFEDF2F7"/>
        <bgColor theme="1"/>
      </patternFill>
    </fill>
    <fill>
      <patternFill patternType="solid">
        <fgColor rgb="FFFFFFD9"/>
        <bgColor indexed="64"/>
      </patternFill>
    </fill>
    <fill>
      <patternFill patternType="solid">
        <fgColor rgb="FFEDF2F7"/>
        <bgColor indexed="64"/>
      </patternFill>
    </fill>
    <fill>
      <patternFill patternType="solid">
        <fgColor theme="4" tint="0.79998168889431442"/>
        <bgColor theme="1"/>
      </patternFill>
    </fill>
    <fill>
      <patternFill patternType="solid">
        <fgColor theme="3" tint="0.79998168889431442"/>
        <bgColor theme="1"/>
      </patternFill>
    </fill>
    <fill>
      <patternFill patternType="solid">
        <fgColor rgb="FFCEC8AA"/>
        <bgColor indexed="64"/>
      </patternFill>
    </fill>
    <fill>
      <patternFill patternType="solid">
        <fgColor rgb="FFD5D5D5"/>
        <bgColor theme="1"/>
      </patternFill>
    </fill>
    <fill>
      <patternFill patternType="solid">
        <fgColor rgb="FFE4E0D0"/>
        <bgColor indexed="64"/>
      </patternFill>
    </fill>
    <fill>
      <patternFill patternType="solid">
        <fgColor rgb="FFEDF5E6"/>
        <bgColor indexed="64"/>
      </patternFill>
    </fill>
    <fill>
      <patternFill patternType="solid">
        <fgColor rgb="FFDFEDD1"/>
        <bgColor indexed="64"/>
      </patternFill>
    </fill>
    <fill>
      <patternFill patternType="solid">
        <fgColor rgb="FFD1E4BB"/>
        <bgColor indexed="64"/>
      </patternFill>
    </fill>
    <fill>
      <patternFill patternType="solid">
        <fgColor rgb="FFF9EFEE"/>
        <bgColor indexed="64"/>
      </patternFill>
    </fill>
    <fill>
      <patternFill patternType="solid">
        <fgColor rgb="FFF5E2E0"/>
        <bgColor indexed="64"/>
      </patternFill>
    </fill>
    <fill>
      <patternFill patternType="solid">
        <fgColor rgb="FFF0D4D1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AFAFA"/>
        <bgColor indexed="64"/>
      </patternFill>
    </fill>
    <fill>
      <patternFill patternType="solid">
        <fgColor rgb="FFE1EAF3"/>
        <bgColor theme="1"/>
      </patternFill>
    </fill>
    <fill>
      <patternFill patternType="solid">
        <fgColor theme="9" tint="0.39997558519241921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indexed="64"/>
      </bottom>
      <diagonal/>
    </border>
    <border>
      <left/>
      <right style="hair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indexed="64"/>
      </right>
      <top style="hair">
        <color theme="0" tint="-0.2499465926084170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theme="0" tint="-0.2499465926084170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theme="0" tint="-0.14996795556505021"/>
      </bottom>
      <diagonal/>
    </border>
    <border>
      <left style="hair">
        <color indexed="64"/>
      </left>
      <right style="hair">
        <color indexed="64"/>
      </right>
      <top style="hair">
        <color theme="0" tint="-0.14996795556505021"/>
      </top>
      <bottom/>
      <diagonal/>
    </border>
    <border>
      <left/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/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24994659260841701"/>
      </bottom>
      <diagonal/>
    </border>
    <border>
      <left style="thin">
        <color indexed="64"/>
      </left>
      <right style="hair">
        <color indexed="64"/>
      </right>
      <top/>
      <bottom style="hair">
        <color theme="0" tint="-0.24994659260841701"/>
      </bottom>
      <diagonal/>
    </border>
    <border>
      <left style="hair">
        <color indexed="64"/>
      </left>
      <right style="thin">
        <color indexed="64"/>
      </right>
      <top style="hair">
        <color theme="0" tint="-0.24994659260841701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 tint="-0.24994659260841701"/>
      </top>
      <bottom/>
      <diagonal/>
    </border>
    <border>
      <left style="thin">
        <color indexed="64"/>
      </left>
      <right style="hair">
        <color indexed="64"/>
      </right>
      <top style="hair">
        <color theme="0" tint="-0.24994659260841701"/>
      </top>
      <bottom/>
      <diagonal/>
    </border>
    <border>
      <left style="hair">
        <color indexed="64"/>
      </left>
      <right style="thin">
        <color indexed="64"/>
      </right>
      <top/>
      <bottom style="hair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theme="0" tint="-0.24994659260841701"/>
      </bottom>
      <diagonal/>
    </border>
    <border>
      <left style="thin">
        <color indexed="64"/>
      </left>
      <right/>
      <top style="hair">
        <color theme="0" tint="-0.2499465926084170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theme="0" tint="-0.24994659260841701"/>
      </bottom>
      <diagonal/>
    </border>
    <border>
      <left/>
      <right style="hair">
        <color indexed="64"/>
      </right>
      <top style="hair">
        <color theme="0" tint="-0.24994659260841701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theme="0" tint="-0.24994659260841701"/>
      </top>
      <bottom/>
      <diagonal/>
    </border>
    <border>
      <left/>
      <right style="thin">
        <color indexed="64"/>
      </right>
      <top/>
      <bottom style="hair">
        <color theme="0" tint="-0.24994659260841701"/>
      </bottom>
      <diagonal/>
    </border>
    <border>
      <left style="hair">
        <color indexed="64"/>
      </left>
      <right/>
      <top style="hair">
        <color theme="0" tint="-0.24994659260841701"/>
      </top>
      <bottom/>
      <diagonal/>
    </border>
    <border>
      <left style="hair">
        <color indexed="64"/>
      </left>
      <right/>
      <top/>
      <bottom style="hair">
        <color theme="0" tint="-0.24994659260841701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8" fillId="0" borderId="0"/>
    <xf numFmtId="9" fontId="9" fillId="0" borderId="0" applyFont="0" applyFill="0" applyBorder="0" applyAlignment="0" applyProtection="0"/>
    <xf numFmtId="0" fontId="10" fillId="0" borderId="0" applyNumberFormat="0" applyBorder="0" applyAlignment="0"/>
    <xf numFmtId="0" fontId="11" fillId="0" borderId="0" applyNumberFormat="0" applyBorder="0" applyAlignment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14" fillId="0" borderId="0"/>
    <xf numFmtId="0" fontId="5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2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8">
    <xf numFmtId="0" fontId="0" fillId="0" borderId="0" xfId="0"/>
    <xf numFmtId="0" fontId="17" fillId="2" borderId="0" xfId="7" applyFont="1" applyFill="1" applyAlignment="1" applyProtection="1">
      <alignment vertical="center"/>
      <protection hidden="1"/>
    </xf>
    <xf numFmtId="0" fontId="17" fillId="2" borderId="0" xfId="7" applyFont="1" applyFill="1" applyAlignment="1" applyProtection="1">
      <alignment horizontal="center"/>
      <protection hidden="1"/>
    </xf>
    <xf numFmtId="0" fontId="17" fillId="2" borderId="0" xfId="7" applyFont="1" applyFill="1" applyAlignment="1" applyProtection="1">
      <alignment horizontal="left"/>
      <protection hidden="1"/>
    </xf>
    <xf numFmtId="0" fontId="13" fillId="2" borderId="0" xfId="7" applyFont="1" applyFill="1" applyProtection="1">
      <protection hidden="1"/>
    </xf>
    <xf numFmtId="0" fontId="17" fillId="2" borderId="0" xfId="7" applyFont="1" applyFill="1" applyProtection="1">
      <protection hidden="1"/>
    </xf>
    <xf numFmtId="0" fontId="13" fillId="2" borderId="0" xfId="7" applyFont="1" applyFill="1" applyAlignment="1" applyProtection="1">
      <alignment vertical="center"/>
      <protection hidden="1"/>
    </xf>
    <xf numFmtId="0" fontId="17" fillId="2" borderId="0" xfId="7" applyFont="1" applyFill="1" applyAlignment="1" applyProtection="1">
      <alignment horizontal="center" vertical="center"/>
      <protection hidden="1"/>
    </xf>
    <xf numFmtId="166" fontId="20" fillId="2" borderId="0" xfId="12" applyNumberFormat="1" applyFont="1" applyFill="1" applyAlignment="1" applyProtection="1">
      <alignment horizontal="right"/>
      <protection hidden="1"/>
    </xf>
    <xf numFmtId="165" fontId="18" fillId="2" borderId="0" xfId="13" applyNumberFormat="1" applyFont="1" applyFill="1" applyProtection="1">
      <protection hidden="1"/>
    </xf>
    <xf numFmtId="165" fontId="13" fillId="2" borderId="0" xfId="8" applyNumberFormat="1" applyFont="1" applyFill="1" applyAlignment="1" applyProtection="1">
      <alignment horizontal="center" vertical="center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center"/>
      <protection hidden="1"/>
    </xf>
    <xf numFmtId="166" fontId="16" fillId="2" borderId="0" xfId="0" applyNumberFormat="1" applyFont="1" applyFill="1" applyAlignment="1" applyProtection="1">
      <alignment horizontal="center"/>
      <protection hidden="1"/>
    </xf>
    <xf numFmtId="166" fontId="17" fillId="2" borderId="0" xfId="0" applyNumberFormat="1" applyFont="1" applyFill="1" applyAlignment="1" applyProtection="1">
      <alignment horizontal="center"/>
      <protection hidden="1"/>
    </xf>
    <xf numFmtId="0" fontId="12" fillId="2" borderId="0" xfId="0" applyFont="1" applyFill="1" applyProtection="1">
      <protection hidden="1"/>
    </xf>
    <xf numFmtId="0" fontId="17" fillId="2" borderId="0" xfId="0" applyFont="1" applyFill="1" applyProtection="1">
      <protection hidden="1"/>
    </xf>
    <xf numFmtId="0" fontId="15" fillId="2" borderId="0" xfId="0" applyFont="1" applyFill="1" applyAlignment="1" applyProtection="1">
      <alignment horizontal="left"/>
      <protection hidden="1"/>
    </xf>
    <xf numFmtId="0" fontId="16" fillId="2" borderId="0" xfId="0" applyFont="1" applyFill="1" applyAlignment="1" applyProtection="1">
      <alignment horizontal="center"/>
      <protection hidden="1"/>
    </xf>
    <xf numFmtId="0" fontId="16" fillId="2" borderId="0" xfId="0" applyFont="1" applyFill="1" applyProtection="1">
      <protection hidden="1"/>
    </xf>
    <xf numFmtId="0" fontId="22" fillId="2" borderId="0" xfId="0" applyFont="1" applyFill="1" applyProtection="1">
      <protection hidden="1"/>
    </xf>
    <xf numFmtId="0" fontId="16" fillId="2" borderId="0" xfId="8" applyFont="1" applyFill="1" applyProtection="1">
      <protection hidden="1"/>
    </xf>
    <xf numFmtId="1" fontId="17" fillId="2" borderId="0" xfId="7" applyNumberFormat="1" applyFont="1" applyFill="1" applyAlignment="1" applyProtection="1">
      <alignment horizontal="center"/>
      <protection hidden="1"/>
    </xf>
    <xf numFmtId="1" fontId="17" fillId="2" borderId="0" xfId="0" applyNumberFormat="1" applyFont="1" applyFill="1" applyAlignment="1" applyProtection="1">
      <alignment horizontal="center"/>
      <protection hidden="1"/>
    </xf>
    <xf numFmtId="1" fontId="17" fillId="2" borderId="0" xfId="7" applyNumberFormat="1" applyFont="1" applyFill="1" applyAlignment="1" applyProtection="1">
      <alignment horizontal="left"/>
      <protection hidden="1"/>
    </xf>
    <xf numFmtId="0" fontId="24" fillId="2" borderId="0" xfId="7" applyFont="1" applyFill="1" applyAlignment="1" applyProtection="1">
      <alignment horizontal="center"/>
      <protection hidden="1"/>
    </xf>
    <xf numFmtId="1" fontId="24" fillId="2" borderId="0" xfId="0" applyNumberFormat="1" applyFont="1" applyFill="1" applyAlignment="1" applyProtection="1">
      <alignment horizontal="center"/>
      <protection hidden="1"/>
    </xf>
    <xf numFmtId="0" fontId="24" fillId="2" borderId="0" xfId="7" applyFont="1" applyFill="1" applyAlignment="1" applyProtection="1">
      <alignment horizontal="left"/>
      <protection hidden="1"/>
    </xf>
    <xf numFmtId="0" fontId="24" fillId="2" borderId="0" xfId="7" applyFont="1" applyFill="1" applyProtection="1">
      <protection hidden="1"/>
    </xf>
    <xf numFmtId="166" fontId="16" fillId="2" borderId="0" xfId="0" applyNumberFormat="1" applyFont="1" applyFill="1" applyAlignment="1" applyProtection="1">
      <alignment horizontal="left"/>
      <protection hidden="1"/>
    </xf>
    <xf numFmtId="0" fontId="27" fillId="2" borderId="0" xfId="0" applyFont="1" applyFill="1" applyProtection="1">
      <protection hidden="1"/>
    </xf>
    <xf numFmtId="0" fontId="27" fillId="2" borderId="0" xfId="0" applyFont="1" applyFill="1" applyAlignment="1" applyProtection="1">
      <alignment horizontal="center"/>
      <protection hidden="1"/>
    </xf>
    <xf numFmtId="166" fontId="27" fillId="2" borderId="0" xfId="0" applyNumberFormat="1" applyFont="1" applyFill="1" applyProtection="1">
      <protection hidden="1"/>
    </xf>
    <xf numFmtId="164" fontId="27" fillId="2" borderId="0" xfId="2" applyNumberFormat="1" applyFont="1" applyFill="1" applyBorder="1" applyAlignment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horizontal="center"/>
      <protection hidden="1"/>
    </xf>
    <xf numFmtId="165" fontId="17" fillId="2" borderId="0" xfId="8" applyNumberFormat="1" applyFont="1" applyFill="1" applyAlignment="1" applyProtection="1">
      <alignment horizontal="center" vertical="center"/>
      <protection hidden="1"/>
    </xf>
    <xf numFmtId="166" fontId="17" fillId="2" borderId="0" xfId="0" applyNumberFormat="1" applyFont="1" applyFill="1" applyAlignment="1" applyProtection="1">
      <alignment horizontal="left"/>
      <protection hidden="1"/>
    </xf>
    <xf numFmtId="166" fontId="30" fillId="2" borderId="0" xfId="0" applyNumberFormat="1" applyFont="1" applyFill="1" applyAlignment="1" applyProtection="1">
      <alignment horizontal="left"/>
      <protection hidden="1"/>
    </xf>
    <xf numFmtId="0" fontId="0" fillId="2" borderId="0" xfId="0" applyFill="1" applyProtection="1">
      <protection hidden="1"/>
    </xf>
    <xf numFmtId="0" fontId="31" fillId="2" borderId="0" xfId="0" applyFont="1" applyFill="1" applyAlignment="1" applyProtection="1">
      <alignment horizontal="center"/>
      <protection hidden="1"/>
    </xf>
    <xf numFmtId="0" fontId="32" fillId="2" borderId="0" xfId="0" applyFont="1" applyFill="1" applyProtection="1">
      <protection hidden="1"/>
    </xf>
    <xf numFmtId="166" fontId="31" fillId="2" borderId="0" xfId="0" applyNumberFormat="1" applyFont="1" applyFill="1" applyAlignment="1" applyProtection="1">
      <alignment horizontal="left"/>
      <protection hidden="1"/>
    </xf>
    <xf numFmtId="0" fontId="32" fillId="2" borderId="0" xfId="0" applyFont="1" applyFill="1" applyAlignment="1" applyProtection="1">
      <alignment horizontal="center" vertical="top"/>
      <protection hidden="1"/>
    </xf>
    <xf numFmtId="0" fontId="32" fillId="2" borderId="0" xfId="0" applyFont="1" applyFill="1" applyAlignment="1" applyProtection="1">
      <alignment horizontal="center"/>
      <protection hidden="1"/>
    </xf>
    <xf numFmtId="166" fontId="19" fillId="2" borderId="0" xfId="0" applyNumberFormat="1" applyFont="1" applyFill="1" applyAlignment="1" applyProtection="1">
      <alignment vertical="top"/>
      <protection hidden="1"/>
    </xf>
    <xf numFmtId="165" fontId="17" fillId="2" borderId="0" xfId="13" applyNumberFormat="1" applyFont="1" applyFill="1" applyAlignment="1" applyProtection="1">
      <alignment horizontal="center"/>
      <protection hidden="1"/>
    </xf>
    <xf numFmtId="173" fontId="27" fillId="2" borderId="0" xfId="13" applyNumberFormat="1" applyFont="1" applyFill="1" applyAlignment="1" applyProtection="1">
      <alignment vertical="center"/>
      <protection hidden="1"/>
    </xf>
    <xf numFmtId="4" fontId="29" fillId="2" borderId="0" xfId="13" applyNumberFormat="1" applyFont="1" applyFill="1" applyAlignment="1" applyProtection="1">
      <alignment horizontal="right"/>
      <protection hidden="1"/>
    </xf>
    <xf numFmtId="171" fontId="28" fillId="3" borderId="0" xfId="0" applyNumberFormat="1" applyFont="1" applyFill="1" applyProtection="1">
      <protection hidden="1"/>
    </xf>
    <xf numFmtId="171" fontId="27" fillId="2" borderId="0" xfId="0" applyNumberFormat="1" applyFont="1" applyFill="1" applyProtection="1">
      <protection hidden="1"/>
    </xf>
    <xf numFmtId="171" fontId="29" fillId="2" borderId="0" xfId="0" applyNumberFormat="1" applyFont="1" applyFill="1" applyProtection="1">
      <protection hidden="1"/>
    </xf>
    <xf numFmtId="171" fontId="29" fillId="2" borderId="26" xfId="0" applyNumberFormat="1" applyFont="1" applyFill="1" applyBorder="1" applyProtection="1">
      <protection hidden="1"/>
    </xf>
    <xf numFmtId="171" fontId="28" fillId="3" borderId="16" xfId="0" applyNumberFormat="1" applyFont="1" applyFill="1" applyBorder="1" applyProtection="1">
      <protection hidden="1"/>
    </xf>
    <xf numFmtId="171" fontId="29" fillId="2" borderId="1" xfId="0" applyNumberFormat="1" applyFont="1" applyFill="1" applyBorder="1" applyProtection="1">
      <protection hidden="1"/>
    </xf>
    <xf numFmtId="167" fontId="28" fillId="2" borderId="0" xfId="0" applyNumberFormat="1" applyFont="1" applyFill="1" applyProtection="1">
      <protection hidden="1"/>
    </xf>
    <xf numFmtId="165" fontId="27" fillId="2" borderId="0" xfId="13" applyNumberFormat="1" applyFont="1" applyFill="1" applyProtection="1">
      <protection hidden="1"/>
    </xf>
    <xf numFmtId="165" fontId="17" fillId="2" borderId="0" xfId="13" applyNumberFormat="1" applyFont="1" applyFill="1" applyProtection="1"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165" fontId="19" fillId="2" borderId="0" xfId="13" applyNumberFormat="1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171" fontId="26" fillId="2" borderId="0" xfId="0" applyNumberFormat="1" applyFont="1" applyFill="1" applyProtection="1">
      <protection hidden="1"/>
    </xf>
    <xf numFmtId="165" fontId="33" fillId="2" borderId="0" xfId="0" applyNumberFormat="1" applyFont="1" applyFill="1" applyProtection="1">
      <protection hidden="1"/>
    </xf>
    <xf numFmtId="166" fontId="16" fillId="2" borderId="0" xfId="0" applyNumberFormat="1" applyFont="1" applyFill="1" applyAlignment="1" applyProtection="1">
      <alignment vertical="top"/>
      <protection hidden="1"/>
    </xf>
    <xf numFmtId="166" fontId="29" fillId="9" borderId="15" xfId="0" applyNumberFormat="1" applyFont="1" applyFill="1" applyBorder="1" applyAlignment="1" applyProtection="1">
      <alignment horizontal="center"/>
      <protection hidden="1"/>
    </xf>
    <xf numFmtId="166" fontId="29" fillId="9" borderId="7" xfId="0" applyNumberFormat="1" applyFont="1" applyFill="1" applyBorder="1" applyAlignment="1" applyProtection="1">
      <alignment horizontal="center"/>
      <protection hidden="1"/>
    </xf>
    <xf numFmtId="166" fontId="29" fillId="26" borderId="4" xfId="0" applyNumberFormat="1" applyFont="1" applyFill="1" applyBorder="1" applyProtection="1">
      <protection hidden="1"/>
    </xf>
    <xf numFmtId="166" fontId="29" fillId="26" borderId="5" xfId="0" applyNumberFormat="1" applyFont="1" applyFill="1" applyBorder="1" applyProtection="1">
      <protection hidden="1"/>
    </xf>
    <xf numFmtId="166" fontId="29" fillId="26" borderId="6" xfId="0" applyNumberFormat="1" applyFont="1" applyFill="1" applyBorder="1" applyProtection="1">
      <protection hidden="1"/>
    </xf>
    <xf numFmtId="166" fontId="26" fillId="26" borderId="0" xfId="0" applyNumberFormat="1" applyFont="1" applyFill="1" applyProtection="1">
      <protection hidden="1"/>
    </xf>
    <xf numFmtId="166" fontId="26" fillId="26" borderId="8" xfId="0" applyNumberFormat="1" applyFont="1" applyFill="1" applyBorder="1" applyProtection="1">
      <protection hidden="1"/>
    </xf>
    <xf numFmtId="0" fontId="32" fillId="2" borderId="0" xfId="0" applyFont="1" applyFill="1" applyAlignment="1" applyProtection="1">
      <alignment vertical="top"/>
      <protection hidden="1"/>
    </xf>
    <xf numFmtId="0" fontId="17" fillId="2" borderId="0" xfId="0" applyFont="1" applyFill="1" applyAlignment="1" applyProtection="1">
      <alignment vertical="top"/>
      <protection hidden="1"/>
    </xf>
    <xf numFmtId="0" fontId="31" fillId="2" borderId="0" xfId="0" applyFont="1" applyFill="1" applyProtection="1">
      <protection hidden="1"/>
    </xf>
    <xf numFmtId="166" fontId="28" fillId="2" borderId="0" xfId="0" applyNumberFormat="1" applyFont="1" applyFill="1" applyProtection="1">
      <protection hidden="1"/>
    </xf>
    <xf numFmtId="174" fontId="17" fillId="2" borderId="0" xfId="0" applyNumberFormat="1" applyFont="1" applyFill="1" applyAlignment="1" applyProtection="1">
      <alignment horizontal="center"/>
      <protection hidden="1"/>
    </xf>
    <xf numFmtId="165" fontId="35" fillId="2" borderId="0" xfId="13" applyNumberFormat="1" applyFont="1" applyFill="1" applyProtection="1">
      <protection hidden="1"/>
    </xf>
    <xf numFmtId="166" fontId="29" fillId="9" borderId="21" xfId="0" applyNumberFormat="1" applyFont="1" applyFill="1" applyBorder="1" applyAlignment="1" applyProtection="1">
      <alignment horizontal="center"/>
      <protection hidden="1"/>
    </xf>
    <xf numFmtId="166" fontId="29" fillId="18" borderId="23" xfId="0" applyNumberFormat="1" applyFont="1" applyFill="1" applyBorder="1" applyAlignment="1" applyProtection="1">
      <alignment horizontal="center"/>
      <protection hidden="1"/>
    </xf>
    <xf numFmtId="166" fontId="29" fillId="18" borderId="8" xfId="0" applyNumberFormat="1" applyFont="1" applyFill="1" applyBorder="1" applyAlignment="1" applyProtection="1">
      <alignment horizontal="center"/>
      <protection hidden="1"/>
    </xf>
    <xf numFmtId="166" fontId="29" fillId="16" borderId="11" xfId="0" applyNumberFormat="1" applyFont="1" applyFill="1" applyBorder="1" applyAlignment="1" applyProtection="1">
      <alignment horizontal="center"/>
      <protection hidden="1"/>
    </xf>
    <xf numFmtId="166" fontId="29" fillId="9" borderId="9" xfId="0" applyNumberFormat="1" applyFont="1" applyFill="1" applyBorder="1" applyAlignment="1" applyProtection="1">
      <alignment horizontal="center"/>
      <protection hidden="1"/>
    </xf>
    <xf numFmtId="166" fontId="29" fillId="18" borderId="11" xfId="0" applyNumberFormat="1" applyFont="1" applyFill="1" applyBorder="1" applyAlignment="1" applyProtection="1">
      <alignment horizontal="center"/>
      <protection hidden="1"/>
    </xf>
    <xf numFmtId="0" fontId="29" fillId="19" borderId="9" xfId="0" applyFont="1" applyFill="1" applyBorder="1" applyAlignment="1" applyProtection="1">
      <alignment horizontal="center"/>
      <protection hidden="1"/>
    </xf>
    <xf numFmtId="0" fontId="29" fillId="17" borderId="11" xfId="0" applyFont="1" applyFill="1" applyBorder="1" applyAlignment="1" applyProtection="1">
      <alignment horizontal="center"/>
      <protection hidden="1"/>
    </xf>
    <xf numFmtId="166" fontId="33" fillId="23" borderId="9" xfId="0" applyNumberFormat="1" applyFont="1" applyFill="1" applyBorder="1" applyAlignment="1" applyProtection="1">
      <alignment horizontal="center"/>
      <protection hidden="1"/>
    </xf>
    <xf numFmtId="166" fontId="33" fillId="24" borderId="10" xfId="0" applyNumberFormat="1" applyFont="1" applyFill="1" applyBorder="1" applyAlignment="1" applyProtection="1">
      <alignment horizontal="center"/>
      <protection hidden="1"/>
    </xf>
    <xf numFmtId="166" fontId="33" fillId="25" borderId="11" xfId="0" applyNumberFormat="1" applyFont="1" applyFill="1" applyBorder="1" applyAlignment="1" applyProtection="1">
      <alignment horizontal="center"/>
      <protection hidden="1"/>
    </xf>
    <xf numFmtId="166" fontId="33" fillId="20" borderId="9" xfId="0" applyNumberFormat="1" applyFont="1" applyFill="1" applyBorder="1" applyAlignment="1" applyProtection="1">
      <alignment horizontal="center"/>
      <protection hidden="1"/>
    </xf>
    <xf numFmtId="166" fontId="33" fillId="21" borderId="10" xfId="0" applyNumberFormat="1" applyFont="1" applyFill="1" applyBorder="1" applyAlignment="1" applyProtection="1">
      <alignment horizontal="center"/>
      <protection hidden="1"/>
    </xf>
    <xf numFmtId="166" fontId="33" fillId="22" borderId="11" xfId="0" applyNumberFormat="1" applyFont="1" applyFill="1" applyBorder="1" applyAlignment="1" applyProtection="1">
      <alignment horizontal="center"/>
      <protection hidden="1"/>
    </xf>
    <xf numFmtId="166" fontId="26" fillId="2" borderId="1" xfId="0" applyNumberFormat="1" applyFont="1" applyFill="1" applyBorder="1" applyAlignment="1" applyProtection="1">
      <alignment horizontal="center"/>
      <protection hidden="1"/>
    </xf>
    <xf numFmtId="0" fontId="29" fillId="19" borderId="2" xfId="0" applyFont="1" applyFill="1" applyBorder="1" applyAlignment="1" applyProtection="1">
      <alignment horizontal="center"/>
      <protection hidden="1"/>
    </xf>
    <xf numFmtId="0" fontId="29" fillId="17" borderId="22" xfId="0" applyFont="1" applyFill="1" applyBorder="1" applyAlignment="1" applyProtection="1">
      <alignment horizontal="center"/>
      <protection hidden="1"/>
    </xf>
    <xf numFmtId="0" fontId="29" fillId="17" borderId="19" xfId="0" applyFont="1" applyFill="1" applyBorder="1" applyAlignment="1" applyProtection="1">
      <alignment horizontal="center"/>
      <protection hidden="1"/>
    </xf>
    <xf numFmtId="0" fontId="29" fillId="17" borderId="3" xfId="0" applyFont="1" applyFill="1" applyBorder="1" applyAlignment="1" applyProtection="1">
      <alignment horizontal="center"/>
      <protection hidden="1"/>
    </xf>
    <xf numFmtId="166" fontId="29" fillId="16" borderId="6" xfId="0" applyNumberFormat="1" applyFont="1" applyFill="1" applyBorder="1" applyAlignment="1" applyProtection="1">
      <alignment horizontal="center"/>
      <protection hidden="1"/>
    </xf>
    <xf numFmtId="165" fontId="32" fillId="0" borderId="0" xfId="8" applyNumberFormat="1" applyFont="1" applyAlignment="1" applyProtection="1">
      <alignment horizontal="center"/>
      <protection hidden="1"/>
    </xf>
    <xf numFmtId="165" fontId="32" fillId="0" borderId="0" xfId="8" applyNumberFormat="1" applyFont="1" applyProtection="1">
      <protection hidden="1"/>
    </xf>
    <xf numFmtId="168" fontId="32" fillId="0" borderId="0" xfId="8" applyNumberFormat="1" applyFont="1" applyAlignment="1" applyProtection="1">
      <alignment horizontal="center"/>
      <protection hidden="1"/>
    </xf>
    <xf numFmtId="165" fontId="32" fillId="2" borderId="0" xfId="8" applyNumberFormat="1" applyFont="1" applyFill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166" fontId="15" fillId="2" borderId="0" xfId="0" applyNumberFormat="1" applyFont="1" applyFill="1" applyAlignment="1" applyProtection="1">
      <alignment vertical="top"/>
      <protection hidden="1"/>
    </xf>
    <xf numFmtId="0" fontId="29" fillId="0" borderId="1" xfId="0" applyFont="1" applyBorder="1" applyAlignment="1" applyProtection="1">
      <alignment horizontal="center"/>
      <protection hidden="1"/>
    </xf>
    <xf numFmtId="3" fontId="28" fillId="2" borderId="0" xfId="0" applyNumberFormat="1" applyFont="1" applyFill="1" applyAlignment="1" applyProtection="1">
      <alignment horizontal="right"/>
      <protection hidden="1"/>
    </xf>
    <xf numFmtId="4" fontId="28" fillId="3" borderId="0" xfId="0" applyNumberFormat="1" applyFont="1" applyFill="1" applyAlignment="1" applyProtection="1">
      <alignment horizontal="right"/>
      <protection hidden="1"/>
    </xf>
    <xf numFmtId="171" fontId="28" fillId="3" borderId="0" xfId="0" applyNumberFormat="1" applyFont="1" applyFill="1" applyAlignment="1" applyProtection="1">
      <alignment horizontal="right"/>
      <protection hidden="1"/>
    </xf>
    <xf numFmtId="167" fontId="28" fillId="3" borderId="1" xfId="0" applyNumberFormat="1" applyFont="1" applyFill="1" applyBorder="1" applyProtection="1">
      <protection hidden="1"/>
    </xf>
    <xf numFmtId="171" fontId="28" fillId="3" borderId="16" xfId="0" applyNumberFormat="1" applyFont="1" applyFill="1" applyBorder="1" applyAlignment="1" applyProtection="1">
      <alignment horizontal="right"/>
      <protection hidden="1"/>
    </xf>
    <xf numFmtId="0" fontId="29" fillId="19" borderId="18" xfId="0" applyFont="1" applyFill="1" applyBorder="1" applyAlignment="1" applyProtection="1">
      <alignment horizontal="center"/>
      <protection hidden="1"/>
    </xf>
    <xf numFmtId="0" fontId="29" fillId="17" borderId="18" xfId="0" applyFont="1" applyFill="1" applyBorder="1" applyAlignment="1" applyProtection="1">
      <alignment horizontal="center"/>
      <protection hidden="1"/>
    </xf>
    <xf numFmtId="166" fontId="29" fillId="18" borderId="15" xfId="0" applyNumberFormat="1" applyFont="1" applyFill="1" applyBorder="1" applyAlignment="1" applyProtection="1">
      <alignment horizontal="center"/>
      <protection hidden="1"/>
    </xf>
    <xf numFmtId="0" fontId="16" fillId="2" borderId="0" xfId="0" applyFont="1" applyFill="1" applyAlignment="1" applyProtection="1">
      <alignment horizontal="center" vertical="top"/>
      <protection hidden="1"/>
    </xf>
    <xf numFmtId="165" fontId="42" fillId="2" borderId="0" xfId="13" applyNumberFormat="1" applyFont="1" applyFill="1" applyAlignment="1" applyProtection="1">
      <alignment vertical="top"/>
      <protection hidden="1"/>
    </xf>
    <xf numFmtId="165" fontId="15" fillId="2" borderId="0" xfId="13" applyNumberFormat="1" applyFont="1" applyFill="1" applyAlignment="1" applyProtection="1">
      <alignment vertical="top"/>
      <protection hidden="1"/>
    </xf>
    <xf numFmtId="0" fontId="16" fillId="2" borderId="0" xfId="7" applyFont="1" applyFill="1" applyProtection="1">
      <protection hidden="1"/>
    </xf>
    <xf numFmtId="0" fontId="17" fillId="2" borderId="0" xfId="0" applyFont="1" applyFill="1" applyAlignment="1" applyProtection="1">
      <alignment horizontal="center" vertical="center"/>
      <protection hidden="1"/>
    </xf>
    <xf numFmtId="0" fontId="17" fillId="2" borderId="0" xfId="7" applyFont="1" applyFill="1" applyAlignment="1" applyProtection="1">
      <alignment vertical="top"/>
      <protection hidden="1"/>
    </xf>
    <xf numFmtId="0" fontId="17" fillId="2" borderId="0" xfId="7" applyFont="1" applyFill="1" applyAlignment="1" applyProtection="1">
      <alignment horizontal="center" vertical="top"/>
      <protection hidden="1"/>
    </xf>
    <xf numFmtId="0" fontId="41" fillId="2" borderId="0" xfId="7" applyFont="1" applyFill="1" applyProtection="1">
      <protection hidden="1"/>
    </xf>
    <xf numFmtId="0" fontId="41" fillId="2" borderId="0" xfId="7" applyFont="1" applyFill="1" applyAlignment="1" applyProtection="1">
      <alignment vertical="center"/>
      <protection hidden="1"/>
    </xf>
    <xf numFmtId="0" fontId="41" fillId="2" borderId="0" xfId="7" applyFont="1" applyFill="1" applyAlignment="1" applyProtection="1">
      <alignment horizontal="center"/>
      <protection hidden="1"/>
    </xf>
    <xf numFmtId="0" fontId="43" fillId="2" borderId="0" xfId="7" applyFont="1" applyFill="1" applyProtection="1">
      <protection hidden="1"/>
    </xf>
    <xf numFmtId="166" fontId="44" fillId="2" borderId="0" xfId="0" applyNumberFormat="1" applyFont="1" applyFill="1" applyAlignment="1" applyProtection="1">
      <alignment horizontal="center"/>
      <protection hidden="1"/>
    </xf>
    <xf numFmtId="166" fontId="44" fillId="3" borderId="0" xfId="0" applyNumberFormat="1" applyFont="1" applyFill="1" applyAlignment="1" applyProtection="1">
      <alignment horizontal="center"/>
      <protection hidden="1"/>
    </xf>
    <xf numFmtId="1" fontId="44" fillId="3" borderId="0" xfId="0" applyNumberFormat="1" applyFont="1" applyFill="1" applyAlignment="1" applyProtection="1">
      <alignment horizontal="center"/>
      <protection hidden="1"/>
    </xf>
    <xf numFmtId="1" fontId="44" fillId="3" borderId="0" xfId="0" applyNumberFormat="1" applyFont="1" applyFill="1" applyAlignment="1" applyProtection="1">
      <alignment horizontal="left"/>
      <protection hidden="1"/>
    </xf>
    <xf numFmtId="0" fontId="44" fillId="3" borderId="0" xfId="0" applyFont="1" applyFill="1" applyAlignment="1" applyProtection="1">
      <alignment horizontal="center"/>
      <protection hidden="1"/>
    </xf>
    <xf numFmtId="166" fontId="44" fillId="3" borderId="0" xfId="0" applyNumberFormat="1" applyFont="1" applyFill="1" applyAlignment="1" applyProtection="1">
      <alignment horizontal="left"/>
      <protection hidden="1"/>
    </xf>
    <xf numFmtId="166" fontId="44" fillId="15" borderId="17" xfId="0" applyNumberFormat="1" applyFont="1" applyFill="1" applyBorder="1" applyAlignment="1" applyProtection="1">
      <alignment horizontal="center"/>
      <protection hidden="1"/>
    </xf>
    <xf numFmtId="166" fontId="44" fillId="23" borderId="5" xfId="0" applyNumberFormat="1" applyFont="1" applyFill="1" applyBorder="1" applyAlignment="1" applyProtection="1">
      <alignment horizontal="left"/>
      <protection hidden="1"/>
    </xf>
    <xf numFmtId="169" fontId="44" fillId="23" borderId="5" xfId="0" applyNumberFormat="1" applyFont="1" applyFill="1" applyBorder="1" applyAlignment="1" applyProtection="1">
      <alignment horizontal="center"/>
      <protection hidden="1"/>
    </xf>
    <xf numFmtId="169" fontId="44" fillId="23" borderId="6" xfId="0" applyNumberFormat="1" applyFont="1" applyFill="1" applyBorder="1" applyAlignment="1" applyProtection="1">
      <alignment horizontal="center"/>
      <protection hidden="1"/>
    </xf>
    <xf numFmtId="1" fontId="44" fillId="2" borderId="27" xfId="0" applyNumberFormat="1" applyFont="1" applyFill="1" applyBorder="1" applyAlignment="1" applyProtection="1">
      <alignment horizontal="center"/>
      <protection locked="0" hidden="1"/>
    </xf>
    <xf numFmtId="166" fontId="44" fillId="2" borderId="31" xfId="0" applyNumberFormat="1" applyFont="1" applyFill="1" applyBorder="1" applyAlignment="1" applyProtection="1">
      <alignment horizontal="left"/>
      <protection hidden="1"/>
    </xf>
    <xf numFmtId="166" fontId="44" fillId="2" borderId="31" xfId="0" applyNumberFormat="1" applyFont="1" applyFill="1" applyBorder="1" applyAlignment="1" applyProtection="1">
      <alignment horizontal="center"/>
      <protection hidden="1"/>
    </xf>
    <xf numFmtId="166" fontId="44" fillId="2" borderId="12" xfId="0" applyNumberFormat="1" applyFont="1" applyFill="1" applyBorder="1" applyAlignment="1" applyProtection="1">
      <alignment horizontal="left"/>
      <protection hidden="1"/>
    </xf>
    <xf numFmtId="166" fontId="45" fillId="3" borderId="0" xfId="0" applyNumberFormat="1" applyFont="1" applyFill="1" applyProtection="1">
      <protection hidden="1"/>
    </xf>
    <xf numFmtId="166" fontId="45" fillId="3" borderId="0" xfId="0" applyNumberFormat="1" applyFont="1" applyFill="1" applyAlignment="1" applyProtection="1">
      <alignment horizontal="left"/>
      <protection hidden="1"/>
    </xf>
    <xf numFmtId="166" fontId="45" fillId="3" borderId="0" xfId="0" applyNumberFormat="1" applyFont="1" applyFill="1" applyAlignment="1" applyProtection="1">
      <alignment horizontal="center"/>
      <protection hidden="1"/>
    </xf>
    <xf numFmtId="0" fontId="44" fillId="2" borderId="0" xfId="0" applyFont="1" applyFill="1" applyAlignment="1" applyProtection="1">
      <alignment horizontal="center"/>
      <protection hidden="1"/>
    </xf>
    <xf numFmtId="166" fontId="44" fillId="9" borderId="15" xfId="0" applyNumberFormat="1" applyFont="1" applyFill="1" applyBorder="1" applyAlignment="1" applyProtection="1">
      <alignment horizontal="center"/>
      <protection hidden="1"/>
    </xf>
    <xf numFmtId="166" fontId="44" fillId="24" borderId="0" xfId="0" applyNumberFormat="1" applyFont="1" applyFill="1" applyAlignment="1" applyProtection="1">
      <alignment horizontal="left"/>
      <protection hidden="1"/>
    </xf>
    <xf numFmtId="169" fontId="44" fillId="23" borderId="0" xfId="0" applyNumberFormat="1" applyFont="1" applyFill="1" applyAlignment="1" applyProtection="1">
      <alignment horizontal="center"/>
      <protection hidden="1"/>
    </xf>
    <xf numFmtId="166" fontId="44" fillId="18" borderId="15" xfId="0" applyNumberFormat="1" applyFont="1" applyFill="1" applyBorder="1" applyAlignment="1" applyProtection="1">
      <alignment horizontal="center"/>
      <protection hidden="1"/>
    </xf>
    <xf numFmtId="169" fontId="44" fillId="23" borderId="8" xfId="0" applyNumberFormat="1" applyFont="1" applyFill="1" applyBorder="1" applyAlignment="1" applyProtection="1">
      <alignment horizontal="center"/>
      <protection hidden="1"/>
    </xf>
    <xf numFmtId="166" fontId="44" fillId="12" borderId="27" xfId="0" applyNumberFormat="1" applyFont="1" applyFill="1" applyBorder="1" applyAlignment="1" applyProtection="1">
      <alignment horizontal="left"/>
      <protection hidden="1"/>
    </xf>
    <xf numFmtId="3" fontId="44" fillId="3" borderId="0" xfId="0" applyNumberFormat="1" applyFont="1" applyFill="1" applyAlignment="1" applyProtection="1">
      <alignment horizontal="left"/>
      <protection hidden="1"/>
    </xf>
    <xf numFmtId="9" fontId="44" fillId="3" borderId="0" xfId="2" applyFont="1" applyFill="1" applyAlignment="1" applyProtection="1">
      <alignment horizontal="left"/>
      <protection hidden="1"/>
    </xf>
    <xf numFmtId="176" fontId="44" fillId="3" borderId="0" xfId="2" applyNumberFormat="1" applyFont="1" applyFill="1" applyAlignment="1" applyProtection="1">
      <alignment horizontal="left"/>
      <protection hidden="1"/>
    </xf>
    <xf numFmtId="0" fontId="44" fillId="19" borderId="36" xfId="0" applyFont="1" applyFill="1" applyBorder="1" applyAlignment="1" applyProtection="1">
      <alignment horizontal="center"/>
      <protection hidden="1"/>
    </xf>
    <xf numFmtId="166" fontId="44" fillId="25" borderId="16" xfId="0" applyNumberFormat="1" applyFont="1" applyFill="1" applyBorder="1" applyAlignment="1" applyProtection="1">
      <alignment horizontal="left"/>
      <protection hidden="1"/>
    </xf>
    <xf numFmtId="169" fontId="44" fillId="23" borderId="16" xfId="0" applyNumberFormat="1" applyFont="1" applyFill="1" applyBorder="1" applyAlignment="1" applyProtection="1">
      <alignment horizontal="center"/>
      <protection hidden="1"/>
    </xf>
    <xf numFmtId="0" fontId="44" fillId="17" borderId="36" xfId="0" applyFont="1" applyFill="1" applyBorder="1" applyAlignment="1" applyProtection="1">
      <alignment horizontal="center"/>
      <protection hidden="1"/>
    </xf>
    <xf numFmtId="169" fontId="44" fillId="23" borderId="38" xfId="0" applyNumberFormat="1" applyFont="1" applyFill="1" applyBorder="1" applyAlignment="1" applyProtection="1">
      <alignment horizontal="center"/>
      <protection hidden="1"/>
    </xf>
    <xf numFmtId="166" fontId="44" fillId="11" borderId="21" xfId="0" applyNumberFormat="1" applyFont="1" applyFill="1" applyBorder="1" applyAlignment="1" applyProtection="1">
      <alignment horizontal="left"/>
      <protection hidden="1"/>
    </xf>
    <xf numFmtId="0" fontId="44" fillId="2" borderId="15" xfId="0" applyFont="1" applyFill="1" applyBorder="1" applyAlignment="1" applyProtection="1">
      <alignment horizontal="center"/>
      <protection hidden="1"/>
    </xf>
    <xf numFmtId="166" fontId="44" fillId="20" borderId="0" xfId="0" applyNumberFormat="1" applyFont="1" applyFill="1" applyAlignment="1" applyProtection="1">
      <alignment horizontal="left"/>
      <protection hidden="1"/>
    </xf>
    <xf numFmtId="169" fontId="44" fillId="20" borderId="0" xfId="0" applyNumberFormat="1" applyFont="1" applyFill="1" applyAlignment="1" applyProtection="1">
      <alignment horizontal="center"/>
      <protection hidden="1"/>
    </xf>
    <xf numFmtId="166" fontId="44" fillId="2" borderId="15" xfId="0" applyNumberFormat="1" applyFont="1" applyFill="1" applyBorder="1" applyAlignment="1" applyProtection="1">
      <alignment horizontal="center"/>
      <protection hidden="1"/>
    </xf>
    <xf numFmtId="169" fontId="44" fillId="20" borderId="8" xfId="0" applyNumberFormat="1" applyFont="1" applyFill="1" applyBorder="1" applyAlignment="1" applyProtection="1">
      <alignment horizontal="center"/>
      <protection hidden="1"/>
    </xf>
    <xf numFmtId="166" fontId="44" fillId="9" borderId="21" xfId="0" applyNumberFormat="1" applyFont="1" applyFill="1" applyBorder="1" applyAlignment="1" applyProtection="1">
      <alignment horizontal="left"/>
      <protection hidden="1"/>
    </xf>
    <xf numFmtId="166" fontId="44" fillId="21" borderId="0" xfId="0" applyNumberFormat="1" applyFont="1" applyFill="1" applyAlignment="1" applyProtection="1">
      <alignment horizontal="left"/>
      <protection hidden="1"/>
    </xf>
    <xf numFmtId="166" fontId="44" fillId="7" borderId="21" xfId="0" applyNumberFormat="1" applyFont="1" applyFill="1" applyBorder="1" applyAlignment="1" applyProtection="1">
      <alignment horizontal="left"/>
      <protection hidden="1"/>
    </xf>
    <xf numFmtId="166" fontId="44" fillId="22" borderId="1" xfId="0" applyNumberFormat="1" applyFont="1" applyFill="1" applyBorder="1" applyAlignment="1" applyProtection="1">
      <alignment horizontal="left"/>
      <protection hidden="1"/>
    </xf>
    <xf numFmtId="169" fontId="44" fillId="20" borderId="1" xfId="0" applyNumberFormat="1" applyFont="1" applyFill="1" applyBorder="1" applyAlignment="1" applyProtection="1">
      <alignment horizontal="center"/>
      <protection hidden="1"/>
    </xf>
    <xf numFmtId="0" fontId="44" fillId="2" borderId="18" xfId="0" applyFont="1" applyFill="1" applyBorder="1" applyAlignment="1" applyProtection="1">
      <alignment horizontal="center"/>
      <protection hidden="1"/>
    </xf>
    <xf numFmtId="169" fontId="44" fillId="20" borderId="3" xfId="0" applyNumberFormat="1" applyFont="1" applyFill="1" applyBorder="1" applyAlignment="1" applyProtection="1">
      <alignment horizontal="center"/>
      <protection hidden="1"/>
    </xf>
    <xf numFmtId="0" fontId="44" fillId="10" borderId="21" xfId="0" applyFont="1" applyFill="1" applyBorder="1" applyAlignment="1" applyProtection="1">
      <alignment horizontal="left"/>
      <protection hidden="1"/>
    </xf>
    <xf numFmtId="166" fontId="44" fillId="16" borderId="17" xfId="0" applyNumberFormat="1" applyFont="1" applyFill="1" applyBorder="1" applyAlignment="1" applyProtection="1">
      <alignment horizontal="center"/>
      <protection hidden="1"/>
    </xf>
    <xf numFmtId="0" fontId="44" fillId="8" borderId="28" xfId="0" applyFont="1" applyFill="1" applyBorder="1" applyAlignment="1" applyProtection="1">
      <alignment horizontal="left"/>
      <protection hidden="1"/>
    </xf>
    <xf numFmtId="172" fontId="44" fillId="3" borderId="0" xfId="0" applyNumberFormat="1" applyFont="1" applyFill="1" applyAlignment="1" applyProtection="1">
      <alignment horizontal="left"/>
      <protection hidden="1"/>
    </xf>
    <xf numFmtId="175" fontId="44" fillId="3" borderId="0" xfId="0" applyNumberFormat="1" applyFont="1" applyFill="1" applyAlignment="1" applyProtection="1">
      <alignment horizontal="left"/>
      <protection hidden="1"/>
    </xf>
    <xf numFmtId="9" fontId="44" fillId="3" borderId="0" xfId="2" applyFont="1" applyFill="1" applyAlignment="1" applyProtection="1">
      <alignment horizontal="center"/>
      <protection hidden="1"/>
    </xf>
    <xf numFmtId="170" fontId="44" fillId="3" borderId="0" xfId="0" applyNumberFormat="1" applyFont="1" applyFill="1" applyAlignment="1" applyProtection="1">
      <alignment horizontal="center"/>
      <protection hidden="1"/>
    </xf>
    <xf numFmtId="166" fontId="44" fillId="2" borderId="0" xfId="0" applyNumberFormat="1" applyFont="1" applyFill="1" applyAlignment="1" applyProtection="1">
      <alignment horizontal="left"/>
      <protection hidden="1"/>
    </xf>
    <xf numFmtId="166" fontId="44" fillId="2" borderId="18" xfId="0" applyNumberFormat="1" applyFont="1" applyFill="1" applyBorder="1" applyAlignment="1" applyProtection="1">
      <alignment horizontal="center"/>
      <protection hidden="1"/>
    </xf>
    <xf numFmtId="1" fontId="44" fillId="2" borderId="0" xfId="0" applyNumberFormat="1" applyFont="1" applyFill="1" applyAlignment="1" applyProtection="1">
      <alignment horizontal="center"/>
      <protection hidden="1"/>
    </xf>
    <xf numFmtId="166" fontId="27" fillId="2" borderId="0" xfId="0" applyNumberFormat="1" applyFont="1" applyFill="1" applyAlignment="1" applyProtection="1">
      <alignment vertical="center"/>
      <protection hidden="1"/>
    </xf>
    <xf numFmtId="166" fontId="27" fillId="6" borderId="0" xfId="0" applyNumberFormat="1" applyFont="1" applyFill="1" applyAlignment="1" applyProtection="1">
      <alignment vertical="center"/>
      <protection hidden="1"/>
    </xf>
    <xf numFmtId="166" fontId="28" fillId="2" borderId="0" xfId="0" applyNumberFormat="1" applyFont="1" applyFill="1" applyAlignment="1" applyProtection="1">
      <alignment vertical="center"/>
      <protection hidden="1"/>
    </xf>
    <xf numFmtId="166" fontId="27" fillId="9" borderId="0" xfId="0" applyNumberFormat="1" applyFont="1" applyFill="1" applyProtection="1"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horizontal="center" vertical="top"/>
      <protection hidden="1"/>
    </xf>
    <xf numFmtId="166" fontId="33" fillId="2" borderId="0" xfId="0" applyNumberFormat="1" applyFont="1" applyFill="1" applyAlignment="1" applyProtection="1">
      <alignment horizontal="center"/>
      <protection hidden="1"/>
    </xf>
    <xf numFmtId="171" fontId="17" fillId="2" borderId="0" xfId="0" applyNumberFormat="1" applyFont="1" applyFill="1" applyAlignment="1" applyProtection="1">
      <alignment horizontal="center"/>
      <protection hidden="1"/>
    </xf>
    <xf numFmtId="166" fontId="28" fillId="3" borderId="0" xfId="0" applyNumberFormat="1" applyFont="1" applyFill="1" applyProtection="1">
      <protection hidden="1"/>
    </xf>
    <xf numFmtId="0" fontId="32" fillId="3" borderId="0" xfId="0" applyFont="1" applyFill="1" applyAlignment="1" applyProtection="1">
      <alignment horizontal="center"/>
      <protection hidden="1"/>
    </xf>
    <xf numFmtId="0" fontId="32" fillId="3" borderId="0" xfId="0" applyFont="1" applyFill="1" applyProtection="1">
      <protection hidden="1"/>
    </xf>
    <xf numFmtId="0" fontId="17" fillId="3" borderId="0" xfId="0" applyFont="1" applyFill="1" applyAlignment="1" applyProtection="1">
      <alignment horizontal="center"/>
      <protection hidden="1"/>
    </xf>
    <xf numFmtId="166" fontId="16" fillId="3" borderId="0" xfId="0" applyNumberFormat="1" applyFont="1" applyFill="1" applyAlignment="1" applyProtection="1">
      <alignment horizontal="center"/>
      <protection hidden="1"/>
    </xf>
    <xf numFmtId="0" fontId="32" fillId="27" borderId="0" xfId="0" applyFont="1" applyFill="1" applyAlignment="1" applyProtection="1">
      <alignment horizontal="center"/>
      <protection hidden="1"/>
    </xf>
    <xf numFmtId="0" fontId="27" fillId="27" borderId="0" xfId="0" applyFont="1" applyFill="1" applyProtection="1">
      <protection hidden="1"/>
    </xf>
    <xf numFmtId="0" fontId="17" fillId="3" borderId="7" xfId="0" applyFont="1" applyFill="1" applyBorder="1" applyAlignment="1" applyProtection="1">
      <alignment horizontal="center"/>
      <protection hidden="1"/>
    </xf>
    <xf numFmtId="0" fontId="32" fillId="3" borderId="7" xfId="0" applyFont="1" applyFill="1" applyBorder="1" applyProtection="1">
      <protection hidden="1"/>
    </xf>
    <xf numFmtId="166" fontId="29" fillId="28" borderId="9" xfId="0" applyNumberFormat="1" applyFont="1" applyFill="1" applyBorder="1" applyAlignment="1" applyProtection="1">
      <alignment horizontal="center"/>
      <protection hidden="1"/>
    </xf>
    <xf numFmtId="166" fontId="29" fillId="28" borderId="17" xfId="0" applyNumberFormat="1" applyFont="1" applyFill="1" applyBorder="1" applyAlignment="1" applyProtection="1">
      <alignment horizontal="center"/>
      <protection hidden="1"/>
    </xf>
    <xf numFmtId="166" fontId="33" fillId="2" borderId="0" xfId="0" applyNumberFormat="1" applyFont="1" applyFill="1" applyAlignment="1" applyProtection="1">
      <alignment vertical="center" wrapText="1"/>
      <protection hidden="1"/>
    </xf>
    <xf numFmtId="165" fontId="27" fillId="3" borderId="0" xfId="13" applyNumberFormat="1" applyFont="1" applyFill="1" applyAlignment="1" applyProtection="1">
      <alignment horizontal="left" indent="1"/>
      <protection hidden="1"/>
    </xf>
    <xf numFmtId="165" fontId="47" fillId="3" borderId="0" xfId="13" applyNumberFormat="1" applyFont="1" applyFill="1" applyAlignment="1" applyProtection="1">
      <alignment horizontal="left" indent="1"/>
      <protection hidden="1"/>
    </xf>
    <xf numFmtId="0" fontId="28" fillId="2" borderId="0" xfId="0" applyFont="1" applyFill="1" applyAlignment="1" applyProtection="1">
      <alignment horizontal="left" indent="1"/>
      <protection hidden="1"/>
    </xf>
    <xf numFmtId="166" fontId="28" fillId="3" borderId="0" xfId="0" applyNumberFormat="1" applyFont="1" applyFill="1" applyAlignment="1" applyProtection="1">
      <alignment horizontal="left" indent="1"/>
      <protection hidden="1"/>
    </xf>
    <xf numFmtId="165" fontId="47" fillId="3" borderId="16" xfId="13" applyNumberFormat="1" applyFont="1" applyFill="1" applyBorder="1" applyAlignment="1" applyProtection="1">
      <alignment horizontal="left" indent="1"/>
      <protection hidden="1"/>
    </xf>
    <xf numFmtId="0" fontId="28" fillId="3" borderId="1" xfId="0" applyFont="1" applyFill="1" applyBorder="1" applyAlignment="1" applyProtection="1">
      <alignment horizontal="left" indent="1"/>
      <protection hidden="1"/>
    </xf>
    <xf numFmtId="0" fontId="17" fillId="2" borderId="0" xfId="11" applyFont="1" applyFill="1" applyProtection="1">
      <protection hidden="1"/>
    </xf>
    <xf numFmtId="166" fontId="49" fillId="2" borderId="0" xfId="0" applyNumberFormat="1" applyFont="1" applyFill="1" applyAlignment="1" applyProtection="1">
      <alignment vertical="top"/>
      <protection hidden="1"/>
    </xf>
    <xf numFmtId="165" fontId="27" fillId="3" borderId="0" xfId="0" applyNumberFormat="1" applyFont="1" applyFill="1" applyAlignment="1" applyProtection="1">
      <alignment horizontal="left" indent="1"/>
      <protection hidden="1"/>
    </xf>
    <xf numFmtId="0" fontId="27" fillId="3" borderId="0" xfId="0" applyFont="1" applyFill="1" applyAlignment="1" applyProtection="1">
      <alignment horizontal="left" indent="1"/>
      <protection hidden="1"/>
    </xf>
    <xf numFmtId="0" fontId="27" fillId="3" borderId="16" xfId="0" applyFont="1" applyFill="1" applyBorder="1" applyAlignment="1" applyProtection="1">
      <alignment horizontal="left" indent="1"/>
      <protection hidden="1"/>
    </xf>
    <xf numFmtId="0" fontId="27" fillId="2" borderId="0" xfId="0" applyFont="1" applyFill="1" applyAlignment="1" applyProtection="1">
      <alignment horizontal="left" indent="1"/>
      <protection hidden="1"/>
    </xf>
    <xf numFmtId="0" fontId="29" fillId="2" borderId="26" xfId="0" applyFont="1" applyFill="1" applyBorder="1" applyProtection="1">
      <protection hidden="1"/>
    </xf>
    <xf numFmtId="165" fontId="27" fillId="2" borderId="0" xfId="13" applyNumberFormat="1" applyFont="1" applyFill="1" applyAlignment="1" applyProtection="1">
      <alignment horizontal="left" indent="1"/>
      <protection hidden="1"/>
    </xf>
    <xf numFmtId="166" fontId="28" fillId="2" borderId="0" xfId="0" applyNumberFormat="1" applyFont="1" applyFill="1" applyAlignment="1" applyProtection="1">
      <alignment horizontal="left" indent="1"/>
      <protection hidden="1"/>
    </xf>
    <xf numFmtId="4" fontId="29" fillId="2" borderId="0" xfId="13" applyNumberFormat="1" applyFont="1" applyFill="1" applyProtection="1">
      <protection hidden="1"/>
    </xf>
    <xf numFmtId="9" fontId="28" fillId="2" borderId="0" xfId="2" applyFont="1" applyFill="1" applyProtection="1">
      <protection hidden="1"/>
    </xf>
    <xf numFmtId="179" fontId="28" fillId="2" borderId="0" xfId="0" applyNumberFormat="1" applyFont="1" applyFill="1" applyProtection="1">
      <protection hidden="1"/>
    </xf>
    <xf numFmtId="165" fontId="47" fillId="3" borderId="1" xfId="13" applyNumberFormat="1" applyFont="1" applyFill="1" applyBorder="1" applyAlignment="1" applyProtection="1">
      <alignment horizontal="left" indent="1"/>
      <protection hidden="1"/>
    </xf>
    <xf numFmtId="171" fontId="28" fillId="3" borderId="1" xfId="0" applyNumberFormat="1" applyFont="1" applyFill="1" applyBorder="1" applyAlignment="1" applyProtection="1">
      <alignment horizontal="right"/>
      <protection hidden="1"/>
    </xf>
    <xf numFmtId="166" fontId="28" fillId="3" borderId="0" xfId="0" applyNumberFormat="1" applyFont="1" applyFill="1" applyAlignment="1" applyProtection="1">
      <alignment horizontal="right"/>
      <protection hidden="1"/>
    </xf>
    <xf numFmtId="0" fontId="17" fillId="3" borderId="0" xfId="0" applyFont="1" applyFill="1" applyProtection="1">
      <protection hidden="1"/>
    </xf>
    <xf numFmtId="166" fontId="37" fillId="2" borderId="0" xfId="0" applyNumberFormat="1" applyFont="1" applyFill="1" applyAlignment="1" applyProtection="1">
      <alignment vertical="center"/>
      <protection hidden="1"/>
    </xf>
    <xf numFmtId="0" fontId="17" fillId="2" borderId="0" xfId="0" applyFont="1" applyFill="1" applyAlignment="1" applyProtection="1">
      <alignment horizontal="center" vertical="top"/>
      <protection hidden="1"/>
    </xf>
    <xf numFmtId="166" fontId="38" fillId="2" borderId="0" xfId="0" applyNumberFormat="1" applyFont="1" applyFill="1" applyProtection="1">
      <protection hidden="1"/>
    </xf>
    <xf numFmtId="166" fontId="39" fillId="2" borderId="0" xfId="0" applyNumberFormat="1" applyFont="1" applyFill="1" applyAlignment="1" applyProtection="1">
      <alignment vertical="center"/>
      <protection hidden="1"/>
    </xf>
    <xf numFmtId="166" fontId="16" fillId="3" borderId="7" xfId="0" applyNumberFormat="1" applyFont="1" applyFill="1" applyBorder="1" applyAlignment="1" applyProtection="1">
      <alignment horizontal="center"/>
      <protection hidden="1"/>
    </xf>
    <xf numFmtId="166" fontId="28" fillId="3" borderId="7" xfId="0" applyNumberFormat="1" applyFont="1" applyFill="1" applyBorder="1" applyProtection="1">
      <protection hidden="1"/>
    </xf>
    <xf numFmtId="166" fontId="16" fillId="2" borderId="0" xfId="0" applyNumberFormat="1" applyFont="1" applyFill="1" applyProtection="1">
      <protection hidden="1"/>
    </xf>
    <xf numFmtId="166" fontId="37" fillId="2" borderId="0" xfId="0" applyNumberFormat="1" applyFont="1" applyFill="1" applyAlignment="1" applyProtection="1">
      <alignment horizontal="left"/>
      <protection hidden="1"/>
    </xf>
    <xf numFmtId="166" fontId="46" fillId="2" borderId="0" xfId="0" applyNumberFormat="1" applyFont="1" applyFill="1" applyProtection="1">
      <protection hidden="1"/>
    </xf>
    <xf numFmtId="166" fontId="16" fillId="2" borderId="0" xfId="0" applyNumberFormat="1" applyFont="1" applyFill="1" applyAlignment="1" applyProtection="1">
      <alignment horizontal="right"/>
      <protection hidden="1"/>
    </xf>
    <xf numFmtId="0" fontId="17" fillId="2" borderId="0" xfId="0" applyFont="1" applyFill="1" applyAlignment="1" applyProtection="1">
      <alignment horizontal="right"/>
      <protection hidden="1"/>
    </xf>
    <xf numFmtId="166" fontId="46" fillId="2" borderId="0" xfId="0" applyNumberFormat="1" applyFont="1" applyFill="1" applyAlignment="1" applyProtection="1">
      <alignment horizontal="right"/>
      <protection hidden="1"/>
    </xf>
    <xf numFmtId="164" fontId="28" fillId="3" borderId="0" xfId="2" applyNumberFormat="1" applyFont="1" applyFill="1" applyAlignment="1" applyProtection="1">
      <alignment horizontal="right"/>
      <protection hidden="1"/>
    </xf>
    <xf numFmtId="166" fontId="16" fillId="3" borderId="0" xfId="0" applyNumberFormat="1" applyFont="1" applyFill="1" applyAlignment="1" applyProtection="1">
      <alignment horizontal="right"/>
      <protection hidden="1"/>
    </xf>
    <xf numFmtId="165" fontId="32" fillId="2" borderId="0" xfId="13" applyNumberFormat="1" applyFont="1" applyFill="1" applyProtection="1">
      <protection hidden="1"/>
    </xf>
    <xf numFmtId="3" fontId="28" fillId="2" borderId="0" xfId="0" applyNumberFormat="1" applyFont="1" applyFill="1" applyProtection="1">
      <protection hidden="1"/>
    </xf>
    <xf numFmtId="165" fontId="29" fillId="2" borderId="0" xfId="13" applyNumberFormat="1" applyFont="1" applyFill="1" applyProtection="1">
      <protection hidden="1"/>
    </xf>
    <xf numFmtId="4" fontId="50" fillId="2" borderId="0" xfId="13" applyNumberFormat="1" applyFont="1" applyFill="1" applyProtection="1">
      <protection hidden="1"/>
    </xf>
    <xf numFmtId="166" fontId="40" fillId="2" borderId="0" xfId="0" applyNumberFormat="1" applyFont="1" applyFill="1" applyProtection="1">
      <protection hidden="1"/>
    </xf>
    <xf numFmtId="166" fontId="29" fillId="26" borderId="0" xfId="0" applyNumberFormat="1" applyFont="1" applyFill="1" applyProtection="1">
      <protection hidden="1"/>
    </xf>
    <xf numFmtId="166" fontId="29" fillId="26" borderId="8" xfId="0" applyNumberFormat="1" applyFont="1" applyFill="1" applyBorder="1" applyProtection="1">
      <protection hidden="1"/>
    </xf>
    <xf numFmtId="166" fontId="17" fillId="3" borderId="0" xfId="0" applyNumberFormat="1" applyFont="1" applyFill="1" applyAlignment="1" applyProtection="1">
      <alignment horizontal="center"/>
      <protection hidden="1"/>
    </xf>
    <xf numFmtId="1" fontId="17" fillId="3" borderId="0" xfId="0" applyNumberFormat="1" applyFont="1" applyFill="1" applyAlignment="1" applyProtection="1">
      <alignment horizontal="center"/>
      <protection hidden="1"/>
    </xf>
    <xf numFmtId="166" fontId="17" fillId="3" borderId="0" xfId="0" applyNumberFormat="1" applyFont="1" applyFill="1" applyAlignment="1" applyProtection="1">
      <alignment horizontal="left"/>
      <protection hidden="1"/>
    </xf>
    <xf numFmtId="169" fontId="17" fillId="2" borderId="0" xfId="0" applyNumberFormat="1" applyFont="1" applyFill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1" fontId="44" fillId="3" borderId="0" xfId="14" applyNumberFormat="1" applyFont="1" applyFill="1" applyAlignment="1" applyProtection="1">
      <alignment horizontal="left"/>
      <protection hidden="1"/>
    </xf>
    <xf numFmtId="1" fontId="45" fillId="3" borderId="0" xfId="13" applyNumberFormat="1" applyFont="1" applyFill="1" applyAlignment="1" applyProtection="1">
      <alignment horizontal="left"/>
      <protection hidden="1"/>
    </xf>
    <xf numFmtId="1" fontId="44" fillId="3" borderId="0" xfId="14" applyNumberFormat="1" applyFont="1" applyFill="1" applyProtection="1">
      <protection hidden="1"/>
    </xf>
    <xf numFmtId="1" fontId="44" fillId="2" borderId="27" xfId="14" applyNumberFormat="1" applyFont="1" applyFill="1" applyBorder="1" applyAlignment="1" applyProtection="1">
      <alignment horizontal="left"/>
      <protection hidden="1"/>
    </xf>
    <xf numFmtId="1" fontId="44" fillId="2" borderId="31" xfId="14" applyNumberFormat="1" applyFont="1" applyFill="1" applyBorder="1" applyAlignment="1" applyProtection="1">
      <alignment horizontal="left"/>
      <protection hidden="1"/>
    </xf>
    <xf numFmtId="1" fontId="44" fillId="2" borderId="29" xfId="14" applyNumberFormat="1" applyFont="1" applyFill="1" applyBorder="1" applyAlignment="1" applyProtection="1">
      <alignment horizontal="left"/>
      <protection hidden="1"/>
    </xf>
    <xf numFmtId="1" fontId="44" fillId="2" borderId="13" xfId="13" applyNumberFormat="1" applyFont="1" applyFill="1" applyBorder="1" applyAlignment="1" applyProtection="1">
      <alignment horizontal="center"/>
      <protection hidden="1"/>
    </xf>
    <xf numFmtId="1" fontId="44" fillId="2" borderId="13" xfId="2" applyNumberFormat="1" applyFont="1" applyFill="1" applyBorder="1" applyAlignment="1" applyProtection="1">
      <alignment horizontal="center"/>
      <protection hidden="1"/>
    </xf>
    <xf numFmtId="1" fontId="44" fillId="2" borderId="14" xfId="13" applyNumberFormat="1" applyFont="1" applyFill="1" applyBorder="1" applyAlignment="1" applyProtection="1">
      <alignment horizontal="center"/>
      <protection hidden="1"/>
    </xf>
    <xf numFmtId="1" fontId="45" fillId="3" borderId="0" xfId="13" applyNumberFormat="1" applyFont="1" applyFill="1" applyAlignment="1" applyProtection="1">
      <alignment horizontal="center"/>
      <protection hidden="1"/>
    </xf>
    <xf numFmtId="1" fontId="45" fillId="3" borderId="0" xfId="14" applyNumberFormat="1" applyFont="1" applyFill="1" applyAlignment="1" applyProtection="1">
      <alignment horizontal="left"/>
      <protection hidden="1"/>
    </xf>
    <xf numFmtId="1" fontId="44" fillId="2" borderId="21" xfId="14" applyNumberFormat="1" applyFont="1" applyFill="1" applyBorder="1" applyAlignment="1" applyProtection="1">
      <alignment horizontal="left"/>
      <protection hidden="1"/>
    </xf>
    <xf numFmtId="1" fontId="44" fillId="2" borderId="0" xfId="14" applyNumberFormat="1" applyFont="1" applyFill="1" applyAlignment="1" applyProtection="1">
      <alignment horizontal="left"/>
      <protection hidden="1"/>
    </xf>
    <xf numFmtId="169" fontId="44" fillId="2" borderId="0" xfId="14" applyNumberFormat="1" applyFont="1" applyFill="1" applyAlignment="1" applyProtection="1">
      <alignment horizontal="left"/>
      <protection hidden="1"/>
    </xf>
    <xf numFmtId="169" fontId="44" fillId="2" borderId="25" xfId="14" applyNumberFormat="1" applyFont="1" applyFill="1" applyBorder="1" applyAlignment="1" applyProtection="1">
      <alignment horizontal="left"/>
      <protection hidden="1"/>
    </xf>
    <xf numFmtId="1" fontId="44" fillId="2" borderId="21" xfId="14" applyNumberFormat="1" applyFont="1" applyFill="1" applyBorder="1" applyAlignment="1" applyProtection="1">
      <alignment horizontal="center"/>
      <protection hidden="1"/>
    </xf>
    <xf numFmtId="1" fontId="44" fillId="14" borderId="32" xfId="0" applyNumberFormat="1" applyFont="1" applyFill="1" applyBorder="1" applyAlignment="1" applyProtection="1">
      <alignment horizontal="center"/>
      <protection hidden="1"/>
    </xf>
    <xf numFmtId="1" fontId="44" fillId="14" borderId="37" xfId="0" applyNumberFormat="1" applyFont="1" applyFill="1" applyBorder="1" applyAlignment="1" applyProtection="1">
      <alignment horizontal="center"/>
      <protection hidden="1"/>
    </xf>
    <xf numFmtId="1" fontId="44" fillId="2" borderId="7" xfId="13" applyNumberFormat="1" applyFont="1" applyFill="1" applyBorder="1" applyAlignment="1" applyProtection="1">
      <alignment horizontal="left"/>
      <protection hidden="1"/>
    </xf>
    <xf numFmtId="169" fontId="44" fillId="2" borderId="0" xfId="0" applyNumberFormat="1" applyFont="1" applyFill="1" applyProtection="1">
      <protection hidden="1"/>
    </xf>
    <xf numFmtId="169" fontId="44" fillId="2" borderId="0" xfId="2" applyNumberFormat="1" applyFont="1" applyFill="1" applyBorder="1" applyAlignment="1" applyProtection="1">
      <alignment horizontal="center"/>
      <protection hidden="1"/>
    </xf>
    <xf numFmtId="1" fontId="44" fillId="2" borderId="8" xfId="0" applyNumberFormat="1" applyFont="1" applyFill="1" applyBorder="1" applyAlignment="1" applyProtection="1">
      <alignment horizontal="center"/>
      <protection hidden="1"/>
    </xf>
    <xf numFmtId="1" fontId="44" fillId="3" borderId="0" xfId="14" applyNumberFormat="1" applyFont="1" applyFill="1" applyAlignment="1" applyProtection="1">
      <alignment horizontal="center"/>
      <protection hidden="1"/>
    </xf>
    <xf numFmtId="176" fontId="44" fillId="3" borderId="0" xfId="2" applyNumberFormat="1" applyFont="1" applyFill="1" applyBorder="1" applyAlignment="1" applyProtection="1">
      <alignment horizontal="center"/>
      <protection hidden="1"/>
    </xf>
    <xf numFmtId="1" fontId="44" fillId="3" borderId="0" xfId="13" applyNumberFormat="1" applyFont="1" applyFill="1" applyAlignment="1" applyProtection="1">
      <alignment horizontal="left"/>
      <protection hidden="1"/>
    </xf>
    <xf numFmtId="1" fontId="44" fillId="2" borderId="28" xfId="14" applyNumberFormat="1" applyFont="1" applyFill="1" applyBorder="1" applyAlignment="1" applyProtection="1">
      <alignment horizontal="left"/>
      <protection hidden="1"/>
    </xf>
    <xf numFmtId="1" fontId="44" fillId="2" borderId="16" xfId="14" applyNumberFormat="1" applyFont="1" applyFill="1" applyBorder="1" applyAlignment="1" applyProtection="1">
      <alignment horizontal="left"/>
      <protection hidden="1"/>
    </xf>
    <xf numFmtId="169" fontId="44" fillId="2" borderId="30" xfId="14" applyNumberFormat="1" applyFont="1" applyFill="1" applyBorder="1" applyAlignment="1" applyProtection="1">
      <alignment horizontal="left"/>
      <protection hidden="1"/>
    </xf>
    <xf numFmtId="1" fontId="44" fillId="4" borderId="20" xfId="0" applyNumberFormat="1" applyFont="1" applyFill="1" applyBorder="1" applyAlignment="1" applyProtection="1">
      <alignment horizontal="center"/>
      <protection hidden="1"/>
    </xf>
    <xf numFmtId="1" fontId="44" fillId="4" borderId="34" xfId="0" applyNumberFormat="1" applyFont="1" applyFill="1" applyBorder="1" applyAlignment="1" applyProtection="1">
      <alignment horizontal="center"/>
      <protection hidden="1"/>
    </xf>
    <xf numFmtId="1" fontId="44" fillId="2" borderId="25" xfId="14" applyNumberFormat="1" applyFont="1" applyFill="1" applyBorder="1" applyAlignment="1" applyProtection="1">
      <alignment horizontal="left"/>
      <protection hidden="1"/>
    </xf>
    <xf numFmtId="1" fontId="44" fillId="2" borderId="20" xfId="0" applyNumberFormat="1" applyFont="1" applyFill="1" applyBorder="1" applyAlignment="1" applyProtection="1">
      <alignment horizontal="center"/>
      <protection hidden="1"/>
    </xf>
    <xf numFmtId="1" fontId="44" fillId="2" borderId="34" xfId="0" applyNumberFormat="1" applyFont="1" applyFill="1" applyBorder="1" applyAlignment="1" applyProtection="1">
      <alignment horizontal="center"/>
      <protection hidden="1"/>
    </xf>
    <xf numFmtId="1" fontId="44" fillId="5" borderId="20" xfId="0" applyNumberFormat="1" applyFont="1" applyFill="1" applyBorder="1" applyAlignment="1" applyProtection="1">
      <alignment horizontal="center"/>
      <protection hidden="1"/>
    </xf>
    <xf numFmtId="1" fontId="44" fillId="5" borderId="34" xfId="0" applyNumberFormat="1" applyFont="1" applyFill="1" applyBorder="1" applyAlignment="1" applyProtection="1">
      <alignment horizontal="center"/>
      <protection hidden="1"/>
    </xf>
    <xf numFmtId="1" fontId="44" fillId="10" borderId="20" xfId="0" applyNumberFormat="1" applyFont="1" applyFill="1" applyBorder="1" applyAlignment="1" applyProtection="1">
      <alignment horizontal="center"/>
      <protection hidden="1"/>
    </xf>
    <xf numFmtId="1" fontId="44" fillId="10" borderId="34" xfId="0" applyNumberFormat="1" applyFont="1" applyFill="1" applyBorder="1" applyAlignment="1" applyProtection="1">
      <alignment horizontal="center"/>
      <protection hidden="1"/>
    </xf>
    <xf numFmtId="1" fontId="44" fillId="2" borderId="28" xfId="14" applyNumberFormat="1" applyFont="1" applyFill="1" applyBorder="1" applyAlignment="1" applyProtection="1">
      <alignment horizontal="center"/>
      <protection hidden="1"/>
    </xf>
    <xf numFmtId="1" fontId="44" fillId="8" borderId="33" xfId="0" applyNumberFormat="1" applyFont="1" applyFill="1" applyBorder="1" applyAlignment="1" applyProtection="1">
      <alignment horizontal="center"/>
      <protection hidden="1"/>
    </xf>
    <xf numFmtId="1" fontId="44" fillId="8" borderId="35" xfId="0" applyNumberFormat="1" applyFont="1" applyFill="1" applyBorder="1" applyAlignment="1" applyProtection="1">
      <alignment horizontal="center"/>
      <protection hidden="1"/>
    </xf>
    <xf numFmtId="1" fontId="44" fillId="2" borderId="7" xfId="0" applyNumberFormat="1" applyFont="1" applyFill="1" applyBorder="1" applyAlignment="1" applyProtection="1">
      <alignment horizontal="left"/>
      <protection hidden="1"/>
    </xf>
    <xf numFmtId="1" fontId="17" fillId="2" borderId="7" xfId="0" applyNumberFormat="1" applyFont="1" applyFill="1" applyBorder="1" applyAlignment="1" applyProtection="1">
      <alignment horizontal="left"/>
      <protection hidden="1"/>
    </xf>
    <xf numFmtId="169" fontId="17" fillId="2" borderId="0" xfId="0" applyNumberFormat="1" applyFont="1" applyFill="1" applyProtection="1">
      <protection hidden="1"/>
    </xf>
    <xf numFmtId="169" fontId="17" fillId="2" borderId="0" xfId="2" applyNumberFormat="1" applyFont="1" applyFill="1" applyBorder="1" applyAlignment="1" applyProtection="1">
      <alignment horizontal="center"/>
      <protection hidden="1"/>
    </xf>
    <xf numFmtId="1" fontId="17" fillId="2" borderId="8" xfId="0" applyNumberFormat="1" applyFont="1" applyFill="1" applyBorder="1" applyAlignment="1" applyProtection="1">
      <alignment horizontal="center"/>
      <protection hidden="1"/>
    </xf>
    <xf numFmtId="1" fontId="17" fillId="3" borderId="0" xfId="14" applyNumberFormat="1" applyFont="1" applyFill="1" applyAlignment="1" applyProtection="1">
      <alignment horizontal="left"/>
      <protection hidden="1"/>
    </xf>
    <xf numFmtId="1" fontId="17" fillId="3" borderId="0" xfId="14" applyNumberFormat="1" applyFont="1" applyFill="1" applyAlignment="1" applyProtection="1">
      <alignment horizontal="center"/>
      <protection hidden="1"/>
    </xf>
    <xf numFmtId="176" fontId="17" fillId="3" borderId="0" xfId="2" applyNumberFormat="1" applyFont="1" applyFill="1" applyBorder="1" applyAlignment="1" applyProtection="1">
      <alignment horizontal="center"/>
      <protection hidden="1"/>
    </xf>
    <xf numFmtId="0" fontId="44" fillId="3" borderId="0" xfId="0" applyFont="1" applyFill="1" applyProtection="1">
      <protection hidden="1"/>
    </xf>
    <xf numFmtId="1" fontId="17" fillId="2" borderId="2" xfId="0" applyNumberFormat="1" applyFont="1" applyFill="1" applyBorder="1" applyAlignment="1" applyProtection="1">
      <alignment horizontal="left"/>
      <protection hidden="1"/>
    </xf>
    <xf numFmtId="1" fontId="17" fillId="2" borderId="1" xfId="0" applyNumberFormat="1" applyFont="1" applyFill="1" applyBorder="1" applyAlignment="1" applyProtection="1">
      <alignment horizontal="left"/>
      <protection hidden="1"/>
    </xf>
    <xf numFmtId="169" fontId="17" fillId="2" borderId="1" xfId="0" applyNumberFormat="1" applyFont="1" applyFill="1" applyBorder="1" applyProtection="1">
      <protection hidden="1"/>
    </xf>
    <xf numFmtId="1" fontId="17" fillId="2" borderId="1" xfId="2" applyNumberFormat="1" applyFont="1" applyFill="1" applyBorder="1" applyAlignment="1" applyProtection="1">
      <alignment horizontal="center"/>
      <protection hidden="1"/>
    </xf>
    <xf numFmtId="1" fontId="17" fillId="2" borderId="3" xfId="0" applyNumberFormat="1" applyFont="1" applyFill="1" applyBorder="1" applyAlignment="1" applyProtection="1">
      <alignment horizontal="center"/>
      <protection hidden="1"/>
    </xf>
    <xf numFmtId="0" fontId="46" fillId="2" borderId="0" xfId="0" applyFont="1" applyFill="1" applyProtection="1">
      <protection hidden="1"/>
    </xf>
    <xf numFmtId="0" fontId="46" fillId="2" borderId="0" xfId="0" applyFont="1" applyFill="1" applyAlignment="1" applyProtection="1">
      <alignment horizontal="right"/>
      <protection hidden="1"/>
    </xf>
    <xf numFmtId="0" fontId="16" fillId="3" borderId="0" xfId="0" applyFont="1" applyFill="1" applyProtection="1">
      <protection hidden="1"/>
    </xf>
    <xf numFmtId="0" fontId="28" fillId="2" borderId="0" xfId="0" applyFont="1" applyFill="1" applyProtection="1">
      <protection hidden="1"/>
    </xf>
    <xf numFmtId="0" fontId="31" fillId="3" borderId="0" xfId="0" applyFont="1" applyFill="1" applyProtection="1">
      <protection hidden="1"/>
    </xf>
    <xf numFmtId="0" fontId="16" fillId="27" borderId="0" xfId="0" applyFont="1" applyFill="1" applyProtection="1">
      <protection hidden="1"/>
    </xf>
    <xf numFmtId="0" fontId="16" fillId="27" borderId="40" xfId="0" applyFont="1" applyFill="1" applyBorder="1" applyProtection="1">
      <protection hidden="1"/>
    </xf>
    <xf numFmtId="0" fontId="51" fillId="2" borderId="0" xfId="0" applyFont="1" applyFill="1" applyProtection="1">
      <protection hidden="1"/>
    </xf>
    <xf numFmtId="165" fontId="17" fillId="29" borderId="0" xfId="13" applyNumberFormat="1" applyFont="1" applyFill="1" applyProtection="1">
      <protection hidden="1"/>
    </xf>
    <xf numFmtId="0" fontId="22" fillId="2" borderId="0" xfId="11" applyFont="1" applyFill="1" applyAlignment="1" applyProtection="1">
      <alignment horizontal="left"/>
      <protection hidden="1"/>
    </xf>
    <xf numFmtId="166" fontId="40" fillId="2" borderId="8" xfId="0" applyNumberFormat="1" applyFont="1" applyFill="1" applyBorder="1" applyAlignment="1" applyProtection="1">
      <alignment horizontal="left"/>
      <protection hidden="1"/>
    </xf>
    <xf numFmtId="166" fontId="40" fillId="2" borderId="0" xfId="0" applyNumberFormat="1" applyFont="1" applyFill="1" applyAlignment="1" applyProtection="1">
      <alignment horizontal="left"/>
      <protection hidden="1"/>
    </xf>
    <xf numFmtId="166" fontId="29" fillId="28" borderId="17" xfId="0" applyNumberFormat="1" applyFont="1" applyFill="1" applyBorder="1" applyAlignment="1" applyProtection="1">
      <alignment horizontal="center" vertical="center"/>
      <protection hidden="1"/>
    </xf>
    <xf numFmtId="166" fontId="29" fillId="28" borderId="15" xfId="0" applyNumberFormat="1" applyFont="1" applyFill="1" applyBorder="1" applyAlignment="1" applyProtection="1">
      <alignment horizontal="center" vertical="center"/>
      <protection hidden="1"/>
    </xf>
    <xf numFmtId="166" fontId="29" fillId="16" borderId="17" xfId="0" applyNumberFormat="1" applyFont="1" applyFill="1" applyBorder="1" applyAlignment="1" applyProtection="1">
      <alignment horizontal="center" vertical="center"/>
      <protection hidden="1"/>
    </xf>
    <xf numFmtId="166" fontId="29" fillId="16" borderId="15" xfId="0" applyNumberFormat="1" applyFont="1" applyFill="1" applyBorder="1" applyAlignment="1" applyProtection="1">
      <alignment horizontal="center" vertical="center"/>
      <protection hidden="1"/>
    </xf>
    <xf numFmtId="166" fontId="29" fillId="9" borderId="15" xfId="0" applyNumberFormat="1" applyFont="1" applyFill="1" applyBorder="1" applyAlignment="1" applyProtection="1">
      <alignment horizontal="center" vertical="center"/>
      <protection hidden="1"/>
    </xf>
    <xf numFmtId="166" fontId="29" fillId="18" borderId="15" xfId="0" applyNumberFormat="1" applyFont="1" applyFill="1" applyBorder="1" applyAlignment="1" applyProtection="1">
      <alignment horizontal="center" vertical="center"/>
      <protection hidden="1"/>
    </xf>
    <xf numFmtId="166" fontId="33" fillId="28" borderId="4" xfId="0" applyNumberFormat="1" applyFont="1" applyFill="1" applyBorder="1" applyAlignment="1" applyProtection="1">
      <alignment horizontal="center" vertical="center"/>
      <protection hidden="1"/>
    </xf>
    <xf numFmtId="166" fontId="33" fillId="28" borderId="5" xfId="0" applyNumberFormat="1" applyFont="1" applyFill="1" applyBorder="1" applyAlignment="1" applyProtection="1">
      <alignment horizontal="center" vertical="center"/>
      <protection hidden="1"/>
    </xf>
    <xf numFmtId="166" fontId="33" fillId="28" borderId="6" xfId="0" applyNumberFormat="1" applyFont="1" applyFill="1" applyBorder="1" applyAlignment="1" applyProtection="1">
      <alignment horizontal="center" vertical="center"/>
      <protection hidden="1"/>
    </xf>
    <xf numFmtId="166" fontId="33" fillId="28" borderId="7" xfId="0" applyNumberFormat="1" applyFont="1" applyFill="1" applyBorder="1" applyAlignment="1" applyProtection="1">
      <alignment horizontal="center" vertical="center"/>
      <protection hidden="1"/>
    </xf>
    <xf numFmtId="166" fontId="33" fillId="28" borderId="0" xfId="0" applyNumberFormat="1" applyFont="1" applyFill="1" applyAlignment="1" applyProtection="1">
      <alignment horizontal="center" vertical="center"/>
      <protection hidden="1"/>
    </xf>
    <xf numFmtId="166" fontId="33" fillId="28" borderId="8" xfId="0" applyNumberFormat="1" applyFont="1" applyFill="1" applyBorder="1" applyAlignment="1" applyProtection="1">
      <alignment horizontal="center" vertical="center"/>
      <protection hidden="1"/>
    </xf>
    <xf numFmtId="166" fontId="33" fillId="28" borderId="2" xfId="0" applyNumberFormat="1" applyFont="1" applyFill="1" applyBorder="1" applyAlignment="1" applyProtection="1">
      <alignment horizontal="center" vertical="center"/>
      <protection hidden="1"/>
    </xf>
    <xf numFmtId="166" fontId="33" fillId="28" borderId="1" xfId="0" applyNumberFormat="1" applyFont="1" applyFill="1" applyBorder="1" applyAlignment="1" applyProtection="1">
      <alignment horizontal="center" vertical="center"/>
      <protection hidden="1"/>
    </xf>
    <xf numFmtId="166" fontId="33" fillId="28" borderId="3" xfId="0" applyNumberFormat="1" applyFont="1" applyFill="1" applyBorder="1" applyAlignment="1" applyProtection="1">
      <alignment horizontal="center" vertical="center"/>
      <protection hidden="1"/>
    </xf>
    <xf numFmtId="166" fontId="33" fillId="16" borderId="4" xfId="0" applyNumberFormat="1" applyFont="1" applyFill="1" applyBorder="1" applyAlignment="1" applyProtection="1">
      <alignment horizontal="center" vertical="center"/>
      <protection hidden="1"/>
    </xf>
    <xf numFmtId="166" fontId="33" fillId="16" borderId="5" xfId="0" applyNumberFormat="1" applyFont="1" applyFill="1" applyBorder="1" applyAlignment="1" applyProtection="1">
      <alignment horizontal="center" vertical="center"/>
      <protection hidden="1"/>
    </xf>
    <xf numFmtId="166" fontId="33" fillId="16" borderId="6" xfId="0" applyNumberFormat="1" applyFont="1" applyFill="1" applyBorder="1" applyAlignment="1" applyProtection="1">
      <alignment horizontal="center" vertical="center"/>
      <protection hidden="1"/>
    </xf>
    <xf numFmtId="166" fontId="33" fillId="16" borderId="7" xfId="0" applyNumberFormat="1" applyFont="1" applyFill="1" applyBorder="1" applyAlignment="1" applyProtection="1">
      <alignment horizontal="center" vertical="center"/>
      <protection hidden="1"/>
    </xf>
    <xf numFmtId="166" fontId="33" fillId="16" borderId="0" xfId="0" applyNumberFormat="1" applyFont="1" applyFill="1" applyAlignment="1" applyProtection="1">
      <alignment horizontal="center" vertical="center"/>
      <protection hidden="1"/>
    </xf>
    <xf numFmtId="166" fontId="33" fillId="16" borderId="8" xfId="0" applyNumberFormat="1" applyFont="1" applyFill="1" applyBorder="1" applyAlignment="1" applyProtection="1">
      <alignment horizontal="center" vertical="center"/>
      <protection hidden="1"/>
    </xf>
    <xf numFmtId="0" fontId="27" fillId="2" borderId="0" xfId="0" applyFont="1" applyFill="1" applyAlignment="1" applyProtection="1">
      <alignment horizontal="left"/>
      <protection hidden="1"/>
    </xf>
    <xf numFmtId="178" fontId="28" fillId="3" borderId="0" xfId="2" applyNumberFormat="1" applyFont="1" applyFill="1" applyBorder="1" applyAlignment="1" applyProtection="1">
      <alignment horizontal="right"/>
      <protection hidden="1"/>
    </xf>
    <xf numFmtId="178" fontId="28" fillId="3" borderId="16" xfId="2" applyNumberFormat="1" applyFont="1" applyFill="1" applyBorder="1" applyAlignment="1" applyProtection="1">
      <alignment horizontal="right"/>
      <protection hidden="1"/>
    </xf>
    <xf numFmtId="177" fontId="28" fillId="3" borderId="0" xfId="0" applyNumberFormat="1" applyFont="1" applyFill="1" applyAlignment="1" applyProtection="1">
      <alignment horizontal="right"/>
      <protection hidden="1"/>
    </xf>
    <xf numFmtId="177" fontId="28" fillId="3" borderId="16" xfId="0" applyNumberFormat="1" applyFont="1" applyFill="1" applyBorder="1" applyAlignment="1" applyProtection="1">
      <alignment horizontal="right"/>
      <protection hidden="1"/>
    </xf>
    <xf numFmtId="166" fontId="28" fillId="3" borderId="0" xfId="0" applyNumberFormat="1" applyFont="1" applyFill="1" applyAlignment="1" applyProtection="1">
      <alignment horizontal="left"/>
      <protection hidden="1"/>
    </xf>
    <xf numFmtId="166" fontId="28" fillId="3" borderId="16" xfId="0" applyNumberFormat="1" applyFont="1" applyFill="1" applyBorder="1" applyAlignment="1" applyProtection="1">
      <alignment horizontal="left"/>
      <protection hidden="1"/>
    </xf>
    <xf numFmtId="166" fontId="28" fillId="2" borderId="0" xfId="0" applyNumberFormat="1" applyFont="1" applyFill="1" applyAlignment="1" applyProtection="1">
      <alignment horizontal="left"/>
      <protection hidden="1"/>
    </xf>
    <xf numFmtId="166" fontId="28" fillId="2" borderId="0" xfId="0" applyNumberFormat="1" applyFont="1" applyFill="1" applyAlignment="1" applyProtection="1">
      <alignment horizontal="right"/>
      <protection hidden="1"/>
    </xf>
    <xf numFmtId="178" fontId="28" fillId="2" borderId="0" xfId="2" applyNumberFormat="1" applyFont="1" applyFill="1" applyBorder="1" applyAlignment="1" applyProtection="1">
      <alignment horizontal="right"/>
      <protection hidden="1"/>
    </xf>
    <xf numFmtId="0" fontId="16" fillId="3" borderId="0" xfId="0" applyFont="1" applyFill="1" applyAlignment="1" applyProtection="1">
      <alignment horizontal="center"/>
      <protection hidden="1"/>
    </xf>
    <xf numFmtId="166" fontId="28" fillId="2" borderId="0" xfId="0" applyNumberFormat="1" applyFont="1" applyFill="1" applyProtection="1">
      <protection hidden="1"/>
    </xf>
    <xf numFmtId="0" fontId="29" fillId="13" borderId="17" xfId="0" applyFont="1" applyFill="1" applyBorder="1" applyAlignment="1" applyProtection="1">
      <alignment horizontal="center" vertical="center"/>
      <protection hidden="1"/>
    </xf>
    <xf numFmtId="0" fontId="29" fillId="13" borderId="15" xfId="0" applyFont="1" applyFill="1" applyBorder="1" applyAlignment="1" applyProtection="1">
      <alignment horizontal="center" vertical="center"/>
      <protection hidden="1"/>
    </xf>
    <xf numFmtId="0" fontId="29" fillId="13" borderId="18" xfId="0" applyFont="1" applyFill="1" applyBorder="1" applyAlignment="1" applyProtection="1">
      <alignment horizontal="center" vertical="center"/>
      <protection hidden="1"/>
    </xf>
    <xf numFmtId="166" fontId="27" fillId="2" borderId="5" xfId="0" applyNumberFormat="1" applyFont="1" applyFill="1" applyBorder="1" applyProtection="1">
      <protection hidden="1"/>
    </xf>
    <xf numFmtId="166" fontId="27" fillId="2" borderId="0" xfId="0" applyNumberFormat="1" applyFont="1" applyFill="1" applyProtection="1">
      <protection hidden="1"/>
    </xf>
    <xf numFmtId="178" fontId="28" fillId="2" borderId="5" xfId="2" applyNumberFormat="1" applyFont="1" applyFill="1" applyBorder="1" applyAlignment="1" applyProtection="1">
      <protection hidden="1"/>
    </xf>
    <xf numFmtId="178" fontId="28" fillId="2" borderId="0" xfId="2" applyNumberFormat="1" applyFont="1" applyFill="1" applyAlignment="1" applyProtection="1">
      <protection hidden="1"/>
    </xf>
    <xf numFmtId="166" fontId="33" fillId="25" borderId="6" xfId="0" applyNumberFormat="1" applyFont="1" applyFill="1" applyBorder="1" applyAlignment="1" applyProtection="1">
      <alignment horizontal="center"/>
      <protection hidden="1"/>
    </xf>
    <xf numFmtId="166" fontId="33" fillId="25" borderId="3" xfId="0" applyNumberFormat="1" applyFont="1" applyFill="1" applyBorder="1" applyAlignment="1" applyProtection="1">
      <alignment horizontal="center"/>
      <protection hidden="1"/>
    </xf>
    <xf numFmtId="166" fontId="33" fillId="24" borderId="24" xfId="0" applyNumberFormat="1" applyFont="1" applyFill="1" applyBorder="1" applyAlignment="1" applyProtection="1">
      <alignment horizontal="center"/>
      <protection hidden="1"/>
    </xf>
    <xf numFmtId="166" fontId="33" fillId="24" borderId="19" xfId="0" applyNumberFormat="1" applyFont="1" applyFill="1" applyBorder="1" applyAlignment="1" applyProtection="1">
      <alignment horizontal="center"/>
      <protection hidden="1"/>
    </xf>
    <xf numFmtId="166" fontId="33" fillId="23" borderId="4" xfId="0" applyNumberFormat="1" applyFont="1" applyFill="1" applyBorder="1" applyAlignment="1" applyProtection="1">
      <alignment horizontal="center"/>
      <protection hidden="1"/>
    </xf>
    <xf numFmtId="166" fontId="33" fillId="23" borderId="2" xfId="0" applyNumberFormat="1" applyFont="1" applyFill="1" applyBorder="1" applyAlignment="1" applyProtection="1">
      <alignment horizontal="center"/>
      <protection hidden="1"/>
    </xf>
    <xf numFmtId="0" fontId="29" fillId="19" borderId="15" xfId="0" applyFont="1" applyFill="1" applyBorder="1" applyAlignment="1" applyProtection="1">
      <alignment horizontal="center" vertical="center"/>
      <protection hidden="1"/>
    </xf>
    <xf numFmtId="0" fontId="29" fillId="19" borderId="18" xfId="0" applyFont="1" applyFill="1" applyBorder="1" applyAlignment="1" applyProtection="1">
      <alignment horizontal="center" vertical="center"/>
      <protection hidden="1"/>
    </xf>
    <xf numFmtId="0" fontId="29" fillId="17" borderId="15" xfId="0" applyFont="1" applyFill="1" applyBorder="1" applyAlignment="1" applyProtection="1">
      <alignment horizontal="center" vertical="center"/>
      <protection hidden="1"/>
    </xf>
    <xf numFmtId="0" fontId="29" fillId="17" borderId="18" xfId="0" applyFont="1" applyFill="1" applyBorder="1" applyAlignment="1" applyProtection="1">
      <alignment horizontal="center" vertical="center"/>
      <protection hidden="1"/>
    </xf>
    <xf numFmtId="166" fontId="33" fillId="20" borderId="17" xfId="0" applyNumberFormat="1" applyFont="1" applyFill="1" applyBorder="1" applyAlignment="1" applyProtection="1">
      <alignment horizontal="left"/>
      <protection hidden="1"/>
    </xf>
    <xf numFmtId="166" fontId="33" fillId="20" borderId="15" xfId="0" applyNumberFormat="1" applyFont="1" applyFill="1" applyBorder="1" applyAlignment="1" applyProtection="1">
      <alignment horizontal="left"/>
      <protection hidden="1"/>
    </xf>
    <xf numFmtId="166" fontId="33" fillId="21" borderId="15" xfId="0" applyNumberFormat="1" applyFont="1" applyFill="1" applyBorder="1" applyAlignment="1" applyProtection="1">
      <alignment horizontal="left"/>
      <protection hidden="1"/>
    </xf>
    <xf numFmtId="166" fontId="33" fillId="24" borderId="15" xfId="0" applyNumberFormat="1" applyFont="1" applyFill="1" applyBorder="1" applyAlignment="1" applyProtection="1">
      <alignment horizontal="left"/>
      <protection hidden="1"/>
    </xf>
    <xf numFmtId="166" fontId="33" fillId="24" borderId="18" xfId="0" applyNumberFormat="1" applyFont="1" applyFill="1" applyBorder="1" applyAlignment="1" applyProtection="1">
      <alignment horizontal="left"/>
      <protection hidden="1"/>
    </xf>
    <xf numFmtId="166" fontId="33" fillId="23" borderId="17" xfId="0" applyNumberFormat="1" applyFont="1" applyFill="1" applyBorder="1" applyAlignment="1" applyProtection="1">
      <alignment horizontal="left"/>
      <protection hidden="1"/>
    </xf>
    <xf numFmtId="166" fontId="33" fillId="23" borderId="15" xfId="0" applyNumberFormat="1" applyFont="1" applyFill="1" applyBorder="1" applyAlignment="1" applyProtection="1">
      <alignment horizontal="left"/>
      <protection hidden="1"/>
    </xf>
    <xf numFmtId="166" fontId="28" fillId="2" borderId="0" xfId="0" applyNumberFormat="1" applyFont="1" applyFill="1" applyAlignment="1" applyProtection="1">
      <alignment horizontal="center"/>
      <protection hidden="1"/>
    </xf>
    <xf numFmtId="166" fontId="28" fillId="3" borderId="0" xfId="0" applyNumberFormat="1" applyFont="1" applyFill="1" applyProtection="1">
      <protection hidden="1"/>
    </xf>
    <xf numFmtId="166" fontId="28" fillId="3" borderId="16" xfId="0" applyNumberFormat="1" applyFont="1" applyFill="1" applyBorder="1" applyProtection="1">
      <protection hidden="1"/>
    </xf>
    <xf numFmtId="0" fontId="33" fillId="2" borderId="31" xfId="0" applyFont="1" applyFill="1" applyBorder="1" applyProtection="1">
      <protection hidden="1"/>
    </xf>
    <xf numFmtId="0" fontId="33" fillId="2" borderId="1" xfId="0" applyFont="1" applyFill="1" applyBorder="1" applyProtection="1">
      <protection hidden="1"/>
    </xf>
    <xf numFmtId="177" fontId="33" fillId="2" borderId="31" xfId="0" applyNumberFormat="1" applyFont="1" applyFill="1" applyBorder="1" applyAlignment="1" applyProtection="1">
      <alignment horizontal="right"/>
      <protection hidden="1"/>
    </xf>
    <xf numFmtId="177" fontId="33" fillId="2" borderId="1" xfId="0" applyNumberFormat="1" applyFont="1" applyFill="1" applyBorder="1" applyAlignment="1" applyProtection="1">
      <alignment horizontal="right"/>
      <protection hidden="1"/>
    </xf>
    <xf numFmtId="178" fontId="33" fillId="2" borderId="31" xfId="2" applyNumberFormat="1" applyFont="1" applyFill="1" applyBorder="1" applyAlignment="1" applyProtection="1">
      <alignment horizontal="right"/>
      <protection hidden="1"/>
    </xf>
    <xf numFmtId="178" fontId="33" fillId="2" borderId="1" xfId="2" applyNumberFormat="1" applyFont="1" applyFill="1" applyBorder="1" applyAlignment="1" applyProtection="1">
      <alignment horizontal="right"/>
      <protection hidden="1"/>
    </xf>
    <xf numFmtId="178" fontId="33" fillId="2" borderId="0" xfId="2" applyNumberFormat="1" applyFont="1" applyFill="1" applyBorder="1" applyAlignment="1" applyProtection="1">
      <alignment horizontal="right"/>
      <protection hidden="1"/>
    </xf>
    <xf numFmtId="178" fontId="33" fillId="2" borderId="0" xfId="2" applyNumberFormat="1" applyFont="1" applyFill="1" applyAlignment="1" applyProtection="1">
      <alignment horizontal="right"/>
      <protection hidden="1"/>
    </xf>
    <xf numFmtId="178" fontId="28" fillId="3" borderId="0" xfId="2" applyNumberFormat="1" applyFont="1" applyFill="1" applyAlignment="1" applyProtection="1">
      <alignment horizontal="right"/>
      <protection hidden="1"/>
    </xf>
    <xf numFmtId="0" fontId="33" fillId="2" borderId="0" xfId="0" applyFont="1" applyFill="1" applyProtection="1">
      <protection hidden="1"/>
    </xf>
    <xf numFmtId="0" fontId="28" fillId="3" borderId="0" xfId="0" applyFont="1" applyFill="1" applyProtection="1">
      <protection hidden="1"/>
    </xf>
    <xf numFmtId="177" fontId="33" fillId="2" borderId="0" xfId="0" applyNumberFormat="1" applyFont="1" applyFill="1" applyAlignment="1" applyProtection="1">
      <alignment horizontal="right"/>
      <protection hidden="1"/>
    </xf>
    <xf numFmtId="177" fontId="27" fillId="3" borderId="0" xfId="0" applyNumberFormat="1" applyFont="1" applyFill="1" applyAlignment="1" applyProtection="1">
      <alignment horizontal="right"/>
      <protection hidden="1"/>
    </xf>
    <xf numFmtId="166" fontId="28" fillId="2" borderId="31" xfId="0" applyNumberFormat="1" applyFont="1" applyFill="1" applyBorder="1" applyProtection="1">
      <protection hidden="1"/>
    </xf>
    <xf numFmtId="0" fontId="33" fillId="2" borderId="5" xfId="0" applyFont="1" applyFill="1" applyBorder="1" applyProtection="1">
      <protection hidden="1"/>
    </xf>
    <xf numFmtId="177" fontId="33" fillId="2" borderId="5" xfId="0" applyNumberFormat="1" applyFont="1" applyFill="1" applyBorder="1" applyAlignment="1" applyProtection="1">
      <alignment horizontal="right"/>
      <protection hidden="1"/>
    </xf>
    <xf numFmtId="178" fontId="33" fillId="2" borderId="5" xfId="2" applyNumberFormat="1" applyFont="1" applyFill="1" applyBorder="1" applyAlignment="1" applyProtection="1">
      <alignment horizontal="right"/>
      <protection hidden="1"/>
    </xf>
    <xf numFmtId="0" fontId="16" fillId="3" borderId="5" xfId="0" applyFont="1" applyFill="1" applyBorder="1" applyAlignment="1" applyProtection="1">
      <alignment horizontal="center"/>
      <protection hidden="1"/>
    </xf>
    <xf numFmtId="166" fontId="33" fillId="21" borderId="15" xfId="0" applyNumberFormat="1" applyFont="1" applyFill="1" applyBorder="1" applyAlignment="1" applyProtection="1">
      <alignment horizontal="center" vertical="center"/>
      <protection hidden="1"/>
    </xf>
    <xf numFmtId="166" fontId="33" fillId="21" borderId="18" xfId="0" applyNumberFormat="1" applyFont="1" applyFill="1" applyBorder="1" applyAlignment="1" applyProtection="1">
      <alignment horizontal="center" vertical="center"/>
      <protection hidden="1"/>
    </xf>
    <xf numFmtId="166" fontId="28" fillId="3" borderId="0" xfId="0" applyNumberFormat="1" applyFont="1" applyFill="1" applyAlignment="1" applyProtection="1">
      <alignment horizontal="center"/>
      <protection hidden="1"/>
    </xf>
    <xf numFmtId="166" fontId="29" fillId="2" borderId="5" xfId="0" applyNumberFormat="1" applyFont="1" applyFill="1" applyBorder="1" applyAlignment="1" applyProtection="1">
      <alignment horizontal="center" vertical="center"/>
      <protection hidden="1"/>
    </xf>
    <xf numFmtId="166" fontId="29" fillId="2" borderId="0" xfId="0" applyNumberFormat="1" applyFont="1" applyFill="1" applyAlignment="1" applyProtection="1">
      <alignment horizontal="center" vertical="center"/>
      <protection hidden="1"/>
    </xf>
    <xf numFmtId="166" fontId="29" fillId="2" borderId="1" xfId="0" applyNumberFormat="1" applyFont="1" applyFill="1" applyBorder="1" applyAlignment="1" applyProtection="1">
      <alignment horizontal="center" vertical="center"/>
      <protection hidden="1"/>
    </xf>
    <xf numFmtId="166" fontId="33" fillId="5" borderId="17" xfId="0" applyNumberFormat="1" applyFont="1" applyFill="1" applyBorder="1" applyAlignment="1" applyProtection="1">
      <alignment horizontal="center" vertical="center"/>
      <protection hidden="1"/>
    </xf>
    <xf numFmtId="166" fontId="33" fillId="5" borderId="15" xfId="0" applyNumberFormat="1" applyFont="1" applyFill="1" applyBorder="1" applyAlignment="1" applyProtection="1">
      <alignment horizontal="center" vertical="center"/>
      <protection hidden="1"/>
    </xf>
    <xf numFmtId="166" fontId="33" fillId="5" borderId="18" xfId="0" applyNumberFormat="1" applyFont="1" applyFill="1" applyBorder="1" applyAlignment="1" applyProtection="1">
      <alignment horizontal="center" vertical="center"/>
      <protection hidden="1"/>
    </xf>
    <xf numFmtId="166" fontId="28" fillId="3" borderId="1" xfId="0" applyNumberFormat="1" applyFont="1" applyFill="1" applyBorder="1" applyAlignment="1" applyProtection="1">
      <alignment horizontal="center"/>
      <protection hidden="1"/>
    </xf>
    <xf numFmtId="166" fontId="28" fillId="2" borderId="8" xfId="0" applyNumberFormat="1" applyFont="1" applyFill="1" applyBorder="1" applyProtection="1">
      <protection hidden="1"/>
    </xf>
    <xf numFmtId="166" fontId="28" fillId="2" borderId="38" xfId="0" applyNumberFormat="1" applyFont="1" applyFill="1" applyBorder="1" applyProtection="1">
      <protection hidden="1"/>
    </xf>
    <xf numFmtId="166" fontId="25" fillId="2" borderId="0" xfId="0" applyNumberFormat="1" applyFont="1" applyFill="1" applyAlignment="1" applyProtection="1">
      <alignment vertical="center"/>
      <protection hidden="1"/>
    </xf>
    <xf numFmtId="166" fontId="28" fillId="2" borderId="0" xfId="0" applyNumberFormat="1" applyFont="1" applyFill="1" applyAlignment="1" applyProtection="1">
      <alignment vertical="center"/>
      <protection hidden="1"/>
    </xf>
    <xf numFmtId="166" fontId="33" fillId="2" borderId="17" xfId="0" applyNumberFormat="1" applyFont="1" applyFill="1" applyBorder="1" applyAlignment="1" applyProtection="1">
      <alignment horizontal="center" vertical="center"/>
      <protection hidden="1"/>
    </xf>
    <xf numFmtId="166" fontId="33" fillId="2" borderId="15" xfId="0" applyNumberFormat="1" applyFont="1" applyFill="1" applyBorder="1" applyAlignment="1" applyProtection="1">
      <alignment horizontal="center" vertical="center"/>
      <protection hidden="1"/>
    </xf>
    <xf numFmtId="166" fontId="33" fillId="2" borderId="18" xfId="0" applyNumberFormat="1" applyFont="1" applyFill="1" applyBorder="1" applyAlignment="1" applyProtection="1">
      <alignment horizontal="center" vertical="center"/>
      <protection hidden="1"/>
    </xf>
    <xf numFmtId="0" fontId="28" fillId="2" borderId="0" xfId="0" applyFont="1" applyFill="1" applyAlignment="1" applyProtection="1">
      <alignment vertical="center"/>
      <protection hidden="1"/>
    </xf>
    <xf numFmtId="166" fontId="33" fillId="22" borderId="15" xfId="0" applyNumberFormat="1" applyFont="1" applyFill="1" applyBorder="1" applyAlignment="1" applyProtection="1">
      <alignment horizontal="left"/>
      <protection hidden="1"/>
    </xf>
    <xf numFmtId="166" fontId="33" fillId="22" borderId="18" xfId="0" applyNumberFormat="1" applyFont="1" applyFill="1" applyBorder="1" applyAlignment="1" applyProtection="1">
      <alignment horizontal="left"/>
      <protection hidden="1"/>
    </xf>
    <xf numFmtId="166" fontId="29" fillId="7" borderId="17" xfId="0" applyNumberFormat="1" applyFont="1" applyFill="1" applyBorder="1" applyAlignment="1" applyProtection="1">
      <alignment horizontal="center" vertical="center"/>
      <protection hidden="1"/>
    </xf>
    <xf numFmtId="166" fontId="29" fillId="7" borderId="15" xfId="0" applyNumberFormat="1" applyFont="1" applyFill="1" applyBorder="1" applyAlignment="1" applyProtection="1">
      <alignment horizontal="center" vertical="center"/>
      <protection hidden="1"/>
    </xf>
    <xf numFmtId="166" fontId="48" fillId="2" borderId="8" xfId="0" applyNumberFormat="1" applyFont="1" applyFill="1" applyBorder="1" applyAlignment="1" applyProtection="1">
      <alignment horizontal="left"/>
      <protection hidden="1"/>
    </xf>
    <xf numFmtId="166" fontId="29" fillId="9" borderId="17" xfId="0" applyNumberFormat="1" applyFont="1" applyFill="1" applyBorder="1" applyAlignment="1" applyProtection="1">
      <alignment horizontal="center" vertical="center"/>
      <protection hidden="1"/>
    </xf>
    <xf numFmtId="166" fontId="33" fillId="20" borderId="15" xfId="0" applyNumberFormat="1" applyFont="1" applyFill="1" applyBorder="1" applyAlignment="1" applyProtection="1">
      <alignment horizontal="center" vertical="center"/>
      <protection hidden="1"/>
    </xf>
    <xf numFmtId="166" fontId="33" fillId="20" borderId="18" xfId="0" applyNumberFormat="1" applyFont="1" applyFill="1" applyBorder="1" applyAlignment="1" applyProtection="1">
      <alignment horizontal="center" vertical="center"/>
      <protection hidden="1"/>
    </xf>
    <xf numFmtId="166" fontId="33" fillId="22" borderId="15" xfId="0" applyNumberFormat="1" applyFont="1" applyFill="1" applyBorder="1" applyAlignment="1" applyProtection="1">
      <alignment horizontal="center" vertical="center"/>
      <protection hidden="1"/>
    </xf>
    <xf numFmtId="166" fontId="33" fillId="22" borderId="18" xfId="0" applyNumberFormat="1" applyFont="1" applyFill="1" applyBorder="1" applyAlignment="1" applyProtection="1">
      <alignment horizontal="center" vertical="center"/>
      <protection hidden="1"/>
    </xf>
    <xf numFmtId="1" fontId="44" fillId="3" borderId="0" xfId="14" applyNumberFormat="1" applyFont="1" applyFill="1" applyAlignment="1" applyProtection="1">
      <alignment horizontal="left"/>
      <protection hidden="1"/>
    </xf>
    <xf numFmtId="166" fontId="44" fillId="3" borderId="0" xfId="0" applyNumberFormat="1" applyFont="1" applyFill="1" applyAlignment="1" applyProtection="1">
      <alignment horizontal="left"/>
      <protection hidden="1"/>
    </xf>
    <xf numFmtId="1" fontId="44" fillId="3" borderId="1" xfId="14" applyNumberFormat="1" applyFont="1" applyFill="1" applyBorder="1" applyAlignment="1" applyProtection="1">
      <alignment horizontal="left"/>
      <protection hidden="1"/>
    </xf>
    <xf numFmtId="0" fontId="27" fillId="2" borderId="0" xfId="0" applyFont="1" applyFill="1" applyAlignment="1" applyProtection="1">
      <alignment horizontal="center"/>
      <protection hidden="1"/>
    </xf>
    <xf numFmtId="0" fontId="27" fillId="2" borderId="1" xfId="0" applyFont="1" applyFill="1" applyBorder="1" applyAlignment="1" applyProtection="1">
      <alignment horizontal="center"/>
      <protection hidden="1"/>
    </xf>
    <xf numFmtId="0" fontId="29" fillId="2" borderId="1" xfId="0" applyFont="1" applyFill="1" applyBorder="1" applyAlignment="1" applyProtection="1">
      <alignment horizontal="center" vertical="top"/>
      <protection hidden="1"/>
    </xf>
    <xf numFmtId="0" fontId="29" fillId="2" borderId="0" xfId="0" applyFont="1" applyFill="1" applyAlignment="1" applyProtection="1">
      <alignment horizontal="center"/>
      <protection hidden="1"/>
    </xf>
    <xf numFmtId="0" fontId="31" fillId="3" borderId="0" xfId="0" applyFont="1" applyFill="1" applyAlignment="1" applyProtection="1">
      <alignment horizontal="center" vertical="center"/>
      <protection hidden="1"/>
    </xf>
    <xf numFmtId="0" fontId="31" fillId="3" borderId="1" xfId="0" applyFont="1" applyFill="1" applyBorder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15" fillId="2" borderId="0" xfId="0" applyFont="1" applyFill="1" applyAlignment="1" applyProtection="1">
      <alignment horizontal="left" vertical="top"/>
      <protection hidden="1"/>
    </xf>
    <xf numFmtId="0" fontId="22" fillId="2" borderId="0" xfId="11" applyFont="1" applyFill="1" applyAlignment="1" applyProtection="1">
      <alignment horizontal="center"/>
      <protection hidden="1"/>
    </xf>
    <xf numFmtId="165" fontId="29" fillId="29" borderId="4" xfId="2" applyNumberFormat="1" applyFont="1" applyFill="1" applyBorder="1" applyAlignment="1" applyProtection="1">
      <alignment horizontal="center"/>
      <protection locked="0" hidden="1"/>
    </xf>
    <xf numFmtId="165" fontId="29" fillId="29" borderId="2" xfId="2" applyNumberFormat="1" applyFont="1" applyFill="1" applyBorder="1" applyAlignment="1" applyProtection="1">
      <alignment horizontal="center"/>
      <protection locked="0" hidden="1"/>
    </xf>
    <xf numFmtId="9" fontId="29" fillId="29" borderId="17" xfId="2" applyFont="1" applyFill="1" applyBorder="1" applyAlignment="1" applyProtection="1">
      <alignment horizontal="center"/>
      <protection locked="0" hidden="1"/>
    </xf>
    <xf numFmtId="9" fontId="29" fillId="29" borderId="63" xfId="2" applyFont="1" applyFill="1" applyBorder="1" applyAlignment="1" applyProtection="1">
      <alignment horizontal="center"/>
      <protection locked="0" hidden="1"/>
    </xf>
    <xf numFmtId="9" fontId="29" fillId="29" borderId="64" xfId="2" applyFont="1" applyFill="1" applyBorder="1" applyAlignment="1" applyProtection="1">
      <alignment horizontal="center"/>
      <protection locked="0" hidden="1"/>
    </xf>
    <xf numFmtId="9" fontId="29" fillId="29" borderId="18" xfId="2" applyFont="1" applyFill="1" applyBorder="1" applyAlignment="1" applyProtection="1">
      <alignment horizontal="center"/>
      <protection locked="0" hidden="1"/>
    </xf>
    <xf numFmtId="165" fontId="29" fillId="29" borderId="17" xfId="2" applyNumberFormat="1" applyFont="1" applyFill="1" applyBorder="1" applyAlignment="1" applyProtection="1">
      <alignment horizontal="center"/>
      <protection locked="0" hidden="1"/>
    </xf>
    <xf numFmtId="165" fontId="29" fillId="29" borderId="18" xfId="2" applyNumberFormat="1" applyFont="1" applyFill="1" applyBorder="1" applyAlignment="1" applyProtection="1">
      <alignment horizontal="center"/>
      <protection locked="0" hidden="1"/>
    </xf>
    <xf numFmtId="164" fontId="29" fillId="29" borderId="17" xfId="2" applyNumberFormat="1" applyFont="1" applyFill="1" applyBorder="1" applyAlignment="1" applyProtection="1">
      <alignment horizontal="center"/>
      <protection locked="0" hidden="1"/>
    </xf>
    <xf numFmtId="164" fontId="29" fillId="29" borderId="18" xfId="2" applyNumberFormat="1" applyFont="1" applyFill="1" applyBorder="1" applyAlignment="1" applyProtection="1">
      <alignment horizontal="center"/>
      <protection locked="0" hidden="1"/>
    </xf>
    <xf numFmtId="165" fontId="27" fillId="13" borderId="39" xfId="2" applyNumberFormat="1" applyFont="1" applyFill="1" applyBorder="1" applyAlignment="1" applyProtection="1">
      <alignment horizontal="center"/>
      <protection hidden="1"/>
    </xf>
    <xf numFmtId="164" fontId="27" fillId="13" borderId="59" xfId="2" applyNumberFormat="1" applyFont="1" applyFill="1" applyBorder="1" applyAlignment="1" applyProtection="1">
      <alignment horizontal="center"/>
      <protection hidden="1"/>
    </xf>
    <xf numFmtId="164" fontId="27" fillId="13" borderId="6" xfId="2" applyNumberFormat="1" applyFont="1" applyFill="1" applyBorder="1" applyAlignment="1" applyProtection="1">
      <alignment horizontal="center"/>
      <protection hidden="1"/>
    </xf>
    <xf numFmtId="165" fontId="27" fillId="13" borderId="22" xfId="2" applyNumberFormat="1" applyFont="1" applyFill="1" applyBorder="1" applyAlignment="1" applyProtection="1">
      <alignment horizontal="center"/>
      <protection hidden="1"/>
    </xf>
    <xf numFmtId="164" fontId="27" fillId="13" borderId="25" xfId="2" applyNumberFormat="1" applyFont="1" applyFill="1" applyBorder="1" applyAlignment="1" applyProtection="1">
      <alignment horizontal="center"/>
      <protection hidden="1"/>
    </xf>
    <xf numFmtId="164" fontId="27" fillId="13" borderId="8" xfId="2" applyNumberFormat="1" applyFont="1" applyFill="1" applyBorder="1" applyAlignment="1" applyProtection="1">
      <alignment horizontal="center"/>
      <protection hidden="1"/>
    </xf>
    <xf numFmtId="9" fontId="27" fillId="13" borderId="4" xfId="2" applyFont="1" applyFill="1" applyBorder="1" applyAlignment="1" applyProtection="1">
      <alignment horizontal="center"/>
      <protection hidden="1"/>
    </xf>
    <xf numFmtId="9" fontId="27" fillId="13" borderId="59" xfId="2" applyFont="1" applyFill="1" applyBorder="1" applyAlignment="1" applyProtection="1">
      <alignment horizontal="center"/>
      <protection hidden="1"/>
    </xf>
    <xf numFmtId="9" fontId="27" fillId="13" borderId="56" xfId="2" applyFont="1" applyFill="1" applyBorder="1" applyAlignment="1" applyProtection="1">
      <alignment horizontal="center"/>
      <protection hidden="1"/>
    </xf>
    <xf numFmtId="164" fontId="27" fillId="13" borderId="0" xfId="2" applyNumberFormat="1" applyFont="1" applyFill="1" applyBorder="1" applyAlignment="1" applyProtection="1">
      <alignment horizontal="center"/>
      <protection hidden="1"/>
    </xf>
    <xf numFmtId="164" fontId="27" fillId="13" borderId="41" xfId="2" applyNumberFormat="1" applyFont="1" applyFill="1" applyBorder="1" applyAlignment="1" applyProtection="1">
      <alignment horizontal="center"/>
      <protection hidden="1"/>
    </xf>
    <xf numFmtId="164" fontId="27" fillId="13" borderId="42" xfId="2" applyNumberFormat="1" applyFont="1" applyFill="1" applyBorder="1" applyAlignment="1" applyProtection="1">
      <alignment horizontal="center"/>
      <protection hidden="1"/>
    </xf>
    <xf numFmtId="9" fontId="27" fillId="13" borderId="57" xfId="2" applyFont="1" applyFill="1" applyBorder="1" applyAlignment="1" applyProtection="1">
      <alignment horizontal="center"/>
      <protection hidden="1"/>
    </xf>
    <xf numFmtId="9" fontId="27" fillId="13" borderId="60" xfId="2" applyFont="1" applyFill="1" applyBorder="1" applyAlignment="1" applyProtection="1">
      <alignment horizontal="center"/>
      <protection hidden="1"/>
    </xf>
    <xf numFmtId="9" fontId="27" fillId="13" borderId="55" xfId="2" applyFont="1" applyFill="1" applyBorder="1" applyAlignment="1" applyProtection="1">
      <alignment horizontal="center"/>
      <protection hidden="1"/>
    </xf>
    <xf numFmtId="164" fontId="27" fillId="13" borderId="1" xfId="2" applyNumberFormat="1" applyFont="1" applyFill="1" applyBorder="1" applyAlignment="1" applyProtection="1">
      <alignment horizontal="center"/>
      <protection hidden="1"/>
    </xf>
    <xf numFmtId="164" fontId="27" fillId="13" borderId="19" xfId="2" applyNumberFormat="1" applyFont="1" applyFill="1" applyBorder="1" applyAlignment="1" applyProtection="1">
      <alignment horizontal="center"/>
      <protection hidden="1"/>
    </xf>
    <xf numFmtId="164" fontId="27" fillId="13" borderId="3" xfId="2" applyNumberFormat="1" applyFont="1" applyFill="1" applyBorder="1" applyAlignment="1" applyProtection="1">
      <alignment horizontal="center"/>
      <protection hidden="1"/>
    </xf>
    <xf numFmtId="9" fontId="27" fillId="13" borderId="58" xfId="2" applyFont="1" applyFill="1" applyBorder="1" applyAlignment="1" applyProtection="1">
      <alignment horizontal="center"/>
      <protection hidden="1"/>
    </xf>
    <xf numFmtId="9" fontId="27" fillId="13" borderId="61" xfId="2" applyFont="1" applyFill="1" applyBorder="1" applyAlignment="1" applyProtection="1">
      <alignment horizontal="center"/>
      <protection hidden="1"/>
    </xf>
    <xf numFmtId="9" fontId="27" fillId="13" borderId="51" xfId="2" applyFont="1" applyFill="1" applyBorder="1" applyAlignment="1" applyProtection="1">
      <alignment horizontal="center"/>
      <protection hidden="1"/>
    </xf>
    <xf numFmtId="164" fontId="27" fillId="13" borderId="45" xfId="2" applyNumberFormat="1" applyFont="1" applyFill="1" applyBorder="1" applyAlignment="1" applyProtection="1">
      <alignment horizontal="center"/>
      <protection hidden="1"/>
    </xf>
    <xf numFmtId="164" fontId="27" fillId="13" borderId="46" xfId="2" applyNumberFormat="1" applyFont="1" applyFill="1" applyBorder="1" applyAlignment="1" applyProtection="1">
      <alignment horizontal="center"/>
      <protection hidden="1"/>
    </xf>
    <xf numFmtId="164" fontId="27" fillId="13" borderId="47" xfId="2" applyNumberFormat="1" applyFont="1" applyFill="1" applyBorder="1" applyAlignment="1" applyProtection="1">
      <alignment horizontal="center"/>
      <protection hidden="1"/>
    </xf>
    <xf numFmtId="164" fontId="27" fillId="13" borderId="58" xfId="2" applyNumberFormat="1" applyFont="1" applyFill="1" applyBorder="1" applyAlignment="1" applyProtection="1">
      <alignment horizontal="center"/>
      <protection hidden="1"/>
    </xf>
    <xf numFmtId="164" fontId="27" fillId="13" borderId="53" xfId="2" applyNumberFormat="1" applyFont="1" applyFill="1" applyBorder="1" applyAlignment="1" applyProtection="1">
      <alignment horizontal="center"/>
      <protection hidden="1"/>
    </xf>
    <xf numFmtId="164" fontId="27" fillId="13" borderId="48" xfId="2" applyNumberFormat="1" applyFont="1" applyFill="1" applyBorder="1" applyAlignment="1" applyProtection="1">
      <alignment horizontal="center"/>
      <protection hidden="1"/>
    </xf>
    <xf numFmtId="164" fontId="27" fillId="13" borderId="7" xfId="2" applyNumberFormat="1" applyFont="1" applyFill="1" applyBorder="1" applyAlignment="1" applyProtection="1">
      <alignment horizontal="center"/>
      <protection hidden="1"/>
    </xf>
    <xf numFmtId="164" fontId="27" fillId="13" borderId="66" xfId="2" applyNumberFormat="1" applyFont="1" applyFill="1" applyBorder="1" applyAlignment="1" applyProtection="1">
      <alignment horizontal="center"/>
      <protection hidden="1"/>
    </xf>
    <xf numFmtId="9" fontId="27" fillId="13" borderId="2" xfId="2" applyFont="1" applyFill="1" applyBorder="1" applyAlignment="1" applyProtection="1">
      <alignment horizontal="center"/>
      <protection hidden="1"/>
    </xf>
    <xf numFmtId="9" fontId="27" fillId="13" borderId="62" xfId="2" applyFont="1" applyFill="1" applyBorder="1" applyAlignment="1" applyProtection="1">
      <alignment horizontal="center"/>
      <protection hidden="1"/>
    </xf>
    <xf numFmtId="9" fontId="27" fillId="13" borderId="52" xfId="2" applyFont="1" applyFill="1" applyBorder="1" applyAlignment="1" applyProtection="1">
      <alignment horizontal="center"/>
      <protection hidden="1"/>
    </xf>
    <xf numFmtId="164" fontId="27" fillId="13" borderId="57" xfId="2" applyNumberFormat="1" applyFont="1" applyFill="1" applyBorder="1" applyAlignment="1" applyProtection="1">
      <alignment horizontal="center"/>
      <protection hidden="1"/>
    </xf>
    <xf numFmtId="164" fontId="27" fillId="13" borderId="67" xfId="2" applyNumberFormat="1" applyFont="1" applyFill="1" applyBorder="1" applyAlignment="1" applyProtection="1">
      <alignment horizontal="center"/>
      <protection hidden="1"/>
    </xf>
    <xf numFmtId="9" fontId="27" fillId="13" borderId="43" xfId="2" applyFont="1" applyFill="1" applyBorder="1" applyAlignment="1" applyProtection="1">
      <alignment horizontal="center"/>
      <protection hidden="1"/>
    </xf>
    <xf numFmtId="9" fontId="27" fillId="13" borderId="24" xfId="2" applyFont="1" applyFill="1" applyBorder="1" applyAlignment="1" applyProtection="1">
      <alignment horizontal="center"/>
      <protection hidden="1"/>
    </xf>
    <xf numFmtId="164" fontId="27" fillId="13" borderId="65" xfId="2" applyNumberFormat="1" applyFont="1" applyFill="1" applyBorder="1" applyAlignment="1" applyProtection="1">
      <alignment horizontal="center"/>
      <protection hidden="1"/>
    </xf>
    <xf numFmtId="164" fontId="27" fillId="13" borderId="23" xfId="2" applyNumberFormat="1" applyFont="1" applyFill="1" applyBorder="1" applyAlignment="1" applyProtection="1">
      <alignment horizontal="center"/>
      <protection hidden="1"/>
    </xf>
    <xf numFmtId="164" fontId="27" fillId="13" borderId="51" xfId="2" applyNumberFormat="1" applyFont="1" applyFill="1" applyBorder="1" applyAlignment="1" applyProtection="1">
      <alignment horizontal="center"/>
      <protection hidden="1"/>
    </xf>
    <xf numFmtId="9" fontId="27" fillId="13" borderId="50" xfId="2" applyFont="1" applyFill="1" applyBorder="1" applyAlignment="1" applyProtection="1">
      <alignment horizontal="center"/>
      <protection hidden="1"/>
    </xf>
    <xf numFmtId="9" fontId="27" fillId="13" borderId="49" xfId="2" applyFont="1" applyFill="1" applyBorder="1" applyAlignment="1" applyProtection="1">
      <alignment horizontal="center"/>
      <protection hidden="1"/>
    </xf>
    <xf numFmtId="164" fontId="27" fillId="13" borderId="50" xfId="2" applyNumberFormat="1" applyFont="1" applyFill="1" applyBorder="1" applyAlignment="1" applyProtection="1">
      <alignment horizontal="center"/>
      <protection hidden="1"/>
    </xf>
    <xf numFmtId="164" fontId="27" fillId="13" borderId="49" xfId="2" applyNumberFormat="1" applyFont="1" applyFill="1" applyBorder="1" applyAlignment="1" applyProtection="1">
      <alignment horizontal="center"/>
      <protection hidden="1"/>
    </xf>
    <xf numFmtId="164" fontId="27" fillId="13" borderId="55" xfId="2" applyNumberFormat="1" applyFont="1" applyFill="1" applyBorder="1" applyAlignment="1" applyProtection="1">
      <alignment horizontal="center"/>
      <protection hidden="1"/>
    </xf>
    <xf numFmtId="9" fontId="27" fillId="13" borderId="54" xfId="2" applyFont="1" applyFill="1" applyBorder="1" applyAlignment="1" applyProtection="1">
      <alignment horizontal="center"/>
      <protection hidden="1"/>
    </xf>
    <xf numFmtId="9" fontId="27" fillId="13" borderId="53" xfId="2" applyFont="1" applyFill="1" applyBorder="1" applyAlignment="1" applyProtection="1">
      <alignment horizontal="center"/>
      <protection hidden="1"/>
    </xf>
    <xf numFmtId="164" fontId="27" fillId="13" borderId="54" xfId="2" applyNumberFormat="1" applyFont="1" applyFill="1" applyBorder="1" applyAlignment="1" applyProtection="1">
      <alignment horizontal="center"/>
      <protection hidden="1"/>
    </xf>
    <xf numFmtId="164" fontId="27" fillId="13" borderId="44" xfId="2" applyNumberFormat="1" applyFont="1" applyFill="1" applyBorder="1" applyAlignment="1" applyProtection="1">
      <alignment horizontal="center"/>
      <protection hidden="1"/>
    </xf>
    <xf numFmtId="164" fontId="27" fillId="13" borderId="52" xfId="2" applyNumberFormat="1" applyFont="1" applyFill="1" applyBorder="1" applyAlignment="1" applyProtection="1">
      <alignment horizontal="center"/>
      <protection hidden="1"/>
    </xf>
    <xf numFmtId="9" fontId="27" fillId="13" borderId="44" xfId="2" applyFont="1" applyFill="1" applyBorder="1" applyAlignment="1" applyProtection="1">
      <alignment horizontal="center"/>
      <protection hidden="1"/>
    </xf>
    <xf numFmtId="9" fontId="27" fillId="13" borderId="19" xfId="2" applyFont="1" applyFill="1" applyBorder="1" applyAlignment="1" applyProtection="1">
      <alignment horizontal="center"/>
      <protection hidden="1"/>
    </xf>
    <xf numFmtId="164" fontId="27" fillId="13" borderId="43" xfId="2" applyNumberFormat="1" applyFont="1" applyFill="1" applyBorder="1" applyAlignment="1" applyProtection="1">
      <alignment horizontal="center"/>
      <protection hidden="1"/>
    </xf>
    <xf numFmtId="164" fontId="27" fillId="13" borderId="24" xfId="2" applyNumberFormat="1" applyFont="1" applyFill="1" applyBorder="1" applyAlignment="1" applyProtection="1">
      <alignment horizontal="center"/>
      <protection hidden="1"/>
    </xf>
    <xf numFmtId="164" fontId="27" fillId="13" borderId="56" xfId="2" applyNumberFormat="1" applyFont="1" applyFill="1" applyBorder="1" applyAlignment="1" applyProtection="1">
      <alignment horizontal="center"/>
      <protection hidden="1"/>
    </xf>
    <xf numFmtId="165" fontId="36" fillId="13" borderId="54" xfId="2" applyNumberFormat="1" applyFont="1" applyFill="1" applyBorder="1" applyAlignment="1" applyProtection="1">
      <alignment horizontal="center"/>
      <protection hidden="1"/>
    </xf>
    <xf numFmtId="165" fontId="36" fillId="13" borderId="53" xfId="2" applyNumberFormat="1" applyFont="1" applyFill="1" applyBorder="1" applyAlignment="1" applyProtection="1">
      <alignment horizontal="center"/>
      <protection hidden="1"/>
    </xf>
    <xf numFmtId="165" fontId="36" fillId="13" borderId="51" xfId="2" applyNumberFormat="1" applyFont="1" applyFill="1" applyBorder="1" applyAlignment="1" applyProtection="1">
      <alignment horizontal="center"/>
      <protection hidden="1"/>
    </xf>
    <xf numFmtId="165" fontId="36" fillId="13" borderId="44" xfId="2" applyNumberFormat="1" applyFont="1" applyFill="1" applyBorder="1" applyAlignment="1" applyProtection="1">
      <alignment horizontal="center"/>
      <protection hidden="1"/>
    </xf>
    <xf numFmtId="165" fontId="36" fillId="13" borderId="19" xfId="2" applyNumberFormat="1" applyFont="1" applyFill="1" applyBorder="1" applyAlignment="1" applyProtection="1">
      <alignment horizontal="center"/>
      <protection hidden="1"/>
    </xf>
    <xf numFmtId="165" fontId="36" fillId="13" borderId="52" xfId="2" applyNumberFormat="1" applyFont="1" applyFill="1" applyBorder="1" applyAlignment="1" applyProtection="1">
      <alignment horizontal="center"/>
      <protection hidden="1"/>
    </xf>
    <xf numFmtId="164" fontId="27" fillId="13" borderId="60" xfId="2" applyNumberFormat="1" applyFont="1" applyFill="1" applyBorder="1" applyAlignment="1" applyProtection="1">
      <alignment horizontal="center"/>
      <protection hidden="1"/>
    </xf>
    <xf numFmtId="165" fontId="27" fillId="13" borderId="59" xfId="2" applyNumberFormat="1" applyFont="1" applyFill="1" applyBorder="1" applyAlignment="1" applyProtection="1">
      <alignment horizontal="center"/>
      <protection hidden="1"/>
    </xf>
    <xf numFmtId="165" fontId="27" fillId="13" borderId="24" xfId="2" applyNumberFormat="1" applyFont="1" applyFill="1" applyBorder="1" applyAlignment="1" applyProtection="1">
      <alignment horizontal="center"/>
      <protection hidden="1"/>
    </xf>
    <xf numFmtId="165" fontId="27" fillId="13" borderId="56" xfId="2" applyNumberFormat="1" applyFont="1" applyFill="1" applyBorder="1" applyAlignment="1" applyProtection="1">
      <alignment horizontal="center"/>
      <protection hidden="1"/>
    </xf>
    <xf numFmtId="165" fontId="27" fillId="13" borderId="60" xfId="2" applyNumberFormat="1" applyFont="1" applyFill="1" applyBorder="1" applyAlignment="1" applyProtection="1">
      <alignment horizontal="center"/>
      <protection hidden="1"/>
    </xf>
    <xf numFmtId="165" fontId="27" fillId="13" borderId="49" xfId="2" applyNumberFormat="1" applyFont="1" applyFill="1" applyBorder="1" applyAlignment="1" applyProtection="1">
      <alignment horizontal="center"/>
      <protection hidden="1"/>
    </xf>
    <xf numFmtId="165" fontId="27" fillId="13" borderId="55" xfId="2" applyNumberFormat="1" applyFont="1" applyFill="1" applyBorder="1" applyAlignment="1" applyProtection="1">
      <alignment horizontal="center"/>
      <protection hidden="1"/>
    </xf>
    <xf numFmtId="164" fontId="27" fillId="13" borderId="70" xfId="2" applyNumberFormat="1" applyFont="1" applyFill="1" applyBorder="1" applyAlignment="1" applyProtection="1">
      <alignment horizontal="center"/>
      <protection hidden="1"/>
    </xf>
    <xf numFmtId="165" fontId="27" fillId="13" borderId="25" xfId="2" applyNumberFormat="1" applyFont="1" applyFill="1" applyBorder="1" applyAlignment="1" applyProtection="1">
      <alignment horizontal="center"/>
      <protection hidden="1"/>
    </xf>
    <xf numFmtId="165" fontId="27" fillId="13" borderId="61" xfId="2" applyNumberFormat="1" applyFont="1" applyFill="1" applyBorder="1" applyAlignment="1" applyProtection="1">
      <alignment horizontal="center"/>
      <protection hidden="1"/>
    </xf>
    <xf numFmtId="165" fontId="27" fillId="13" borderId="53" xfId="2" applyNumberFormat="1" applyFont="1" applyFill="1" applyBorder="1" applyAlignment="1" applyProtection="1">
      <alignment horizontal="center"/>
      <protection hidden="1"/>
    </xf>
    <xf numFmtId="165" fontId="27" fillId="13" borderId="51" xfId="2" applyNumberFormat="1" applyFont="1" applyFill="1" applyBorder="1" applyAlignment="1" applyProtection="1">
      <alignment horizontal="center"/>
      <protection hidden="1"/>
    </xf>
    <xf numFmtId="164" fontId="27" fillId="13" borderId="68" xfId="2" applyNumberFormat="1" applyFont="1" applyFill="1" applyBorder="1" applyAlignment="1" applyProtection="1">
      <alignment horizontal="center"/>
      <protection hidden="1"/>
    </xf>
    <xf numFmtId="165" fontId="27" fillId="13" borderId="62" xfId="2" applyNumberFormat="1" applyFont="1" applyFill="1" applyBorder="1" applyAlignment="1" applyProtection="1">
      <alignment horizontal="center"/>
      <protection hidden="1"/>
    </xf>
    <xf numFmtId="165" fontId="27" fillId="13" borderId="19" xfId="2" applyNumberFormat="1" applyFont="1" applyFill="1" applyBorder="1" applyAlignment="1" applyProtection="1">
      <alignment horizontal="center"/>
      <protection hidden="1"/>
    </xf>
    <xf numFmtId="165" fontId="27" fillId="13" borderId="52" xfId="2" applyNumberFormat="1" applyFont="1" applyFill="1" applyBorder="1" applyAlignment="1" applyProtection="1">
      <alignment horizontal="center"/>
      <protection hidden="1"/>
    </xf>
    <xf numFmtId="164" fontId="27" fillId="13" borderId="69" xfId="2" applyNumberFormat="1" applyFont="1" applyFill="1" applyBorder="1" applyAlignment="1" applyProtection="1">
      <alignment horizontal="center"/>
      <protection hidden="1"/>
    </xf>
    <xf numFmtId="165" fontId="27" fillId="13" borderId="4" xfId="2" applyNumberFormat="1" applyFont="1" applyFill="1" applyBorder="1" applyAlignment="1" applyProtection="1">
      <alignment horizontal="center"/>
      <protection hidden="1"/>
    </xf>
    <xf numFmtId="167" fontId="27" fillId="13" borderId="54" xfId="2" applyNumberFormat="1" applyFont="1" applyFill="1" applyBorder="1" applyAlignment="1" applyProtection="1">
      <alignment horizontal="center"/>
      <protection hidden="1"/>
    </xf>
    <xf numFmtId="167" fontId="27" fillId="13" borderId="53" xfId="2" applyNumberFormat="1" applyFont="1" applyFill="1" applyBorder="1" applyAlignment="1" applyProtection="1">
      <alignment horizontal="center"/>
      <protection hidden="1"/>
    </xf>
    <xf numFmtId="167" fontId="27" fillId="13" borderId="51" xfId="2" applyNumberFormat="1" applyFont="1" applyFill="1" applyBorder="1" applyAlignment="1" applyProtection="1">
      <alignment horizontal="center"/>
      <protection hidden="1"/>
    </xf>
    <xf numFmtId="167" fontId="27" fillId="13" borderId="70" xfId="2" applyNumberFormat="1" applyFont="1" applyFill="1" applyBorder="1" applyAlignment="1" applyProtection="1">
      <alignment horizontal="center"/>
      <protection hidden="1"/>
    </xf>
    <xf numFmtId="165" fontId="27" fillId="13" borderId="2" xfId="2" applyNumberFormat="1" applyFont="1" applyFill="1" applyBorder="1" applyAlignment="1" applyProtection="1">
      <alignment horizontal="center"/>
      <protection hidden="1"/>
    </xf>
    <xf numFmtId="167" fontId="27" fillId="13" borderId="44" xfId="2" applyNumberFormat="1" applyFont="1" applyFill="1" applyBorder="1" applyAlignment="1" applyProtection="1">
      <alignment horizontal="center"/>
      <protection hidden="1"/>
    </xf>
    <xf numFmtId="167" fontId="27" fillId="13" borderId="19" xfId="2" applyNumberFormat="1" applyFont="1" applyFill="1" applyBorder="1" applyAlignment="1" applyProtection="1">
      <alignment horizontal="center"/>
      <protection hidden="1"/>
    </xf>
    <xf numFmtId="167" fontId="27" fillId="13" borderId="52" xfId="2" applyNumberFormat="1" applyFont="1" applyFill="1" applyBorder="1" applyAlignment="1" applyProtection="1">
      <alignment horizontal="center"/>
      <protection hidden="1"/>
    </xf>
    <xf numFmtId="0" fontId="16" fillId="2" borderId="0" xfId="0" applyFont="1" applyFill="1" applyAlignment="1" applyProtection="1">
      <alignment horizontal="center"/>
      <protection locked="0" hidden="1"/>
    </xf>
  </cellXfs>
  <cellStyles count="19">
    <cellStyle name="Comma 2" xfId="6" xr:uid="{00000000-0005-0000-0000-000002000000}"/>
    <cellStyle name="Normal" xfId="0" builtinId="0"/>
    <cellStyle name="Normal 2" xfId="1" xr:uid="{00000000-0005-0000-0000-000005000000}"/>
    <cellStyle name="Normal 2 2" xfId="12" xr:uid="{D644D019-7A0E-4005-9CD3-6C3E50C8F217}"/>
    <cellStyle name="Normal 2 2 2" xfId="16" xr:uid="{177759F9-A1BB-4AA2-B85C-62BB26424B34}"/>
    <cellStyle name="Normal 2 2 3" xfId="8" xr:uid="{BFA95FF9-9B4B-4597-AD15-A8432B0DA8D4}"/>
    <cellStyle name="Normal 3" xfId="5" xr:uid="{00000000-0005-0000-0000-000006000000}"/>
    <cellStyle name="Normal 3 2" xfId="9" xr:uid="{33C8657B-AB9F-4583-AA8F-A9D40793555C}"/>
    <cellStyle name="Normal 3 2 2" xfId="13" xr:uid="{2849ABD0-0F04-4D4C-A2D0-684554F4063B}"/>
    <cellStyle name="Normal 3 3" xfId="11" xr:uid="{5BE6BF40-5488-4E8B-B540-0A7A5BEF23C6}"/>
    <cellStyle name="Normal 3 3 2" xfId="18" xr:uid="{C9BAA050-A71F-405E-9942-7A0E9CDFC0C5}"/>
    <cellStyle name="Normal 4" xfId="7" xr:uid="{CF880C71-4FFE-4AA8-A609-F4873D8E1D3B}"/>
    <cellStyle name="Normal 4 2" xfId="17" xr:uid="{91AC2917-357D-4C64-8190-575FE84DD6D4}"/>
    <cellStyle name="Normal 5" xfId="14" xr:uid="{EF9DE0C4-1BAE-4BE1-AF95-F7B0133EB3F4}"/>
    <cellStyle name="Percent" xfId="2" builtinId="5"/>
    <cellStyle name="Percent 2" xfId="15" xr:uid="{D6C0E487-9D5B-4598-BCCF-7976A153AD63}"/>
    <cellStyle name="Percent 3" xfId="10" xr:uid="{58B2BD1B-A179-4665-9792-9687F7883CFE}"/>
    <cellStyle name="STYLE1" xfId="3" xr:uid="{00000000-0005-0000-0000-000008000000}"/>
    <cellStyle name="STYLE2" xfId="4" xr:uid="{00000000-0005-0000-0000-000009000000}"/>
  </cellStyles>
  <dxfs count="7">
    <dxf>
      <font>
        <color rgb="FF008000"/>
      </font>
      <fill>
        <patternFill patternType="solid">
          <bgColor theme="0"/>
        </patternFill>
      </fill>
    </dxf>
    <dxf>
      <font>
        <b val="0"/>
        <i val="0"/>
        <color theme="0"/>
      </font>
      <fill>
        <patternFill>
          <bgColor rgb="FFFF5050"/>
        </patternFill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 val="0"/>
        <i val="0"/>
        <color theme="0"/>
      </font>
      <fill>
        <patternFill>
          <bgColor rgb="FFFF5050"/>
        </patternFill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color theme="0"/>
      </font>
      <fill>
        <patternFill>
          <bgColor rgb="FFFF5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color theme="0"/>
      </font>
      <fill>
        <patternFill>
          <bgColor rgb="FFFF5050"/>
        </patternFill>
      </fill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 val="0"/>
        <i val="0"/>
        <color theme="0"/>
      </font>
      <fill>
        <patternFill>
          <bgColor rgb="FFFF5050"/>
        </patternFill>
      </fill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color theme="0"/>
      </font>
      <fill>
        <patternFill>
          <bgColor rgb="FFFF5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</dxfs>
  <tableStyles count="0" defaultTableStyle="TableStyleMedium9" defaultPivotStyle="PivotStyleLight16"/>
  <colors>
    <mruColors>
      <color rgb="FFFFFFD9"/>
      <color rgb="FFEDF5E6"/>
      <color rgb="FFDFEDD1"/>
      <color rgb="FFD1E4BB"/>
      <color rgb="FFF0D4D1"/>
      <color rgb="FFF9EFEE"/>
      <color rgb="FFF5E2E0"/>
      <color rgb="FFF3F2E9"/>
      <color rgb="FFE5E2D3"/>
      <color rgb="FFE1EA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021799485750578"/>
          <c:y val="1.2731945092229323E-2"/>
          <c:w val="0.26896084110008217"/>
          <c:h val="0.98272973553744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Drivers!$DC$7</c:f>
              <c:strCache>
                <c:ptCount val="1"/>
                <c:pt idx="0">
                  <c:v>Val</c:v>
                </c:pt>
              </c:strCache>
            </c:strRef>
          </c:tx>
          <c:spPr>
            <a:noFill/>
            <a:ln w="3175">
              <a:noFill/>
            </a:ln>
            <a:effectLst/>
          </c:spPr>
          <c:invertIfNegative val="0"/>
          <c:dLbls>
            <c:dLbl>
              <c:idx val="0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ot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no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001A-407A-83A5-17A514D753F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01A-407A-83A5-17A514D753F5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01A-407A-83A5-17A514D753F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01A-407A-83A5-17A514D753F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001A-407A-83A5-17A514D753F5}"/>
                </c:ext>
              </c:extLst>
            </c:dLbl>
            <c:dLbl>
              <c:idx val="5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ash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sp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001A-407A-83A5-17A514D753F5}"/>
                </c:ext>
              </c:extLst>
            </c:dLbl>
            <c:dLbl>
              <c:idx val="6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ot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no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001A-407A-83A5-17A514D753F5}"/>
                </c:ext>
              </c:extLst>
            </c:dLbl>
            <c:dLbl>
              <c:idx val="7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ot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no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001A-407A-83A5-17A514D753F5}"/>
                </c:ext>
              </c:extLst>
            </c:dLbl>
            <c:dLbl>
              <c:idx val="8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ot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no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001A-407A-83A5-17A514D753F5}"/>
                </c:ext>
              </c:extLst>
            </c:dLbl>
            <c:dLbl>
              <c:idx val="9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ot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no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9160839160839161"/>
                      <c:h val="9.82456140350877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001A-407A-83A5-17A514D753F5}"/>
                </c:ext>
              </c:extLst>
            </c:dLbl>
            <c:dLbl>
              <c:idx val="10"/>
              <c:numFmt formatCode="0%;\-0%" sourceLinked="0"/>
              <c:spPr>
                <a:solidFill>
                  <a:srgbClr val="F7F7F7"/>
                </a:solidFill>
                <a:ln w="3175">
                  <a:solidFill>
                    <a:sysClr val="windowText" lastClr="000000"/>
                  </a:solidFill>
                  <a:prstDash val="sysDot"/>
                </a:ln>
                <a:effectLst/>
              </c:spPr>
              <c:txPr>
                <a:bodyPr rot="0" spcFirstLastPara="1" vertOverflow="overflow" horzOverflow="overflow" vert="horz" wrap="none" lIns="38100" tIns="19050" rIns="38100" bIns="19050" anchor="ctr" anchorCtr="0">
                  <a:noAutofit/>
                </a:bodyPr>
                <a:lstStyle/>
                <a:p>
                  <a:pPr algn="ctr">
                    <a:defRPr sz="95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3103438289004045"/>
                      <c:h val="7.317073170731706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001A-407A-83A5-17A514D753F5}"/>
                </c:ext>
              </c:extLst>
            </c:dLbl>
            <c:numFmt formatCode="0%;\-0%" sourceLinked="0"/>
            <c:spPr>
              <a:solidFill>
                <a:srgbClr val="F7F7F7"/>
              </a:solidFill>
              <a:ln w="3175">
                <a:solidFill>
                  <a:sysClr val="windowText" lastClr="000000"/>
                </a:solidFill>
                <a:prstDash val="sysDot"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0">
                <a:spAutoFit/>
              </a:bodyPr>
              <a:lstStyle/>
              <a:p>
                <a:pPr algn="ctr">
                  <a:defRPr sz="9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Drivers!$DA$8:$DA$17</c:f>
              <c:strCache>
                <c:ptCount val="10"/>
                <c:pt idx="0">
                  <c:v>Interest </c:v>
                </c:pt>
                <c:pt idx="1">
                  <c:v>Gain on sale </c:v>
                </c:pt>
                <c:pt idx="2">
                  <c:v>Origination fee </c:v>
                </c:pt>
                <c:pt idx="3">
                  <c:v>Application fee </c:v>
                </c:pt>
                <c:pt idx="4">
                  <c:v>Servicing fee </c:v>
                </c:pt>
                <c:pt idx="5">
                  <c:v>Referral fee </c:v>
                </c:pt>
                <c:pt idx="6">
                  <c:v>Direct fixed </c:v>
                </c:pt>
                <c:pt idx="7">
                  <c:v>Commission </c:v>
                </c:pt>
                <c:pt idx="8">
                  <c:v>Indirect fixed </c:v>
                </c:pt>
                <c:pt idx="9">
                  <c:v>Overhead </c:v>
                </c:pt>
              </c:strCache>
            </c:strRef>
          </c:cat>
          <c:val>
            <c:numRef>
              <c:f>Drivers!$DC$8:$DC$17</c:f>
              <c:numCache>
                <c:formatCode>#,##0.0</c:formatCode>
                <c:ptCount val="10"/>
                <c:pt idx="0">
                  <c:v>12.45724096334526</c:v>
                </c:pt>
                <c:pt idx="1">
                  <c:v>5.5426263330559902</c:v>
                </c:pt>
                <c:pt idx="2">
                  <c:v>3.7119239033946658</c:v>
                </c:pt>
                <c:pt idx="3">
                  <c:v>2.7713151665279949</c:v>
                </c:pt>
                <c:pt idx="4">
                  <c:v>2.2769152977243743</c:v>
                </c:pt>
                <c:pt idx="5">
                  <c:v>-1.3856500832639975</c:v>
                </c:pt>
                <c:pt idx="6">
                  <c:v>-2.3486780611324742</c:v>
                </c:pt>
                <c:pt idx="7">
                  <c:v>-3.208418691930123</c:v>
                </c:pt>
                <c:pt idx="8">
                  <c:v>-4.3837108725079172</c:v>
                </c:pt>
                <c:pt idx="9">
                  <c:v>-14.43351785521377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01A-407A-83A5-17A514D7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3446208"/>
        <c:axId val="1353439008"/>
      </c:barChart>
      <c:catAx>
        <c:axId val="13534462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6350" cap="flat" cmpd="sng" algn="ctr">
            <a:solidFill>
              <a:schemeClr val="tx1">
                <a:lumMod val="50000"/>
                <a:lumOff val="50000"/>
              </a:schemeClr>
            </a:solidFill>
            <a:prstDash val="lg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439008"/>
        <c:crosses val="autoZero"/>
        <c:auto val="1"/>
        <c:lblAlgn val="ctr"/>
        <c:lblOffset val="100"/>
        <c:noMultiLvlLbl val="0"/>
      </c:catAx>
      <c:valAx>
        <c:axId val="1353439008"/>
        <c:scaling>
          <c:orientation val="minMax"/>
        </c:scaling>
        <c:delete val="1"/>
        <c:axPos val="t"/>
        <c:numFmt formatCode="#,##0.0" sourceLinked="1"/>
        <c:majorTickMark val="none"/>
        <c:minorTickMark val="none"/>
        <c:tickLblPos val="nextTo"/>
        <c:crossAx val="1353446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798000745743914E-2"/>
          <c:y val="1.4808176962954256E-2"/>
          <c:w val="0.97792319880680978"/>
          <c:h val="0.9786751935858764"/>
        </c:manualLayout>
      </c:layout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 w="0"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1EAF3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3AC-4BA4-BF23-2104FC206D9F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3AC-4BA4-BF23-2104FC206D9F}"/>
              </c:ext>
            </c:extLst>
          </c:dPt>
          <c:dPt>
            <c:idx val="2"/>
            <c:invertIfNegative val="0"/>
            <c:bubble3D val="0"/>
            <c:spPr>
              <a:solidFill>
                <a:srgbClr val="F3F2E9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3AC-4BA4-BF23-2104FC206D9F}"/>
              </c:ext>
            </c:extLst>
          </c:dPt>
          <c:dPt>
            <c:idx val="3"/>
            <c:invertIfNegative val="0"/>
            <c:bubble3D val="0"/>
            <c:spPr>
              <a:solidFill>
                <a:srgbClr val="F9EFEE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3AC-4BA4-BF23-2104FC206D9F}"/>
              </c:ext>
            </c:extLst>
          </c:dPt>
          <c:dPt>
            <c:idx val="4"/>
            <c:invertIfNegative val="0"/>
            <c:bubble3D val="0"/>
            <c:spPr>
              <a:solidFill>
                <a:srgbClr val="EDF5E6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3AC-4BA4-BF23-2104FC206D9F}"/>
              </c:ext>
            </c:extLst>
          </c:dPt>
          <c:dPt>
            <c:idx val="5"/>
            <c:invertIfNegative val="0"/>
            <c:bubble3D val="0"/>
            <c:spPr>
              <a:solidFill>
                <a:srgbClr val="F0F4E8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3AC-4BA4-BF23-2104FC206D9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66C2AC44-EEF6-4474-A7B5-7E4E6BE8227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C93EDEB-6EDD-4509-AEAF-7AF6FC6E303A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3AC-4BA4-BF23-2104FC206D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190C9A2-F7D1-457F-9F28-D93FD0DDB59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4206248-D7CD-401E-8789-5119AD46FC1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3AC-4BA4-BF23-2104FC206D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3EA5E13-29DC-41C7-883E-5A0CDEF9EA90}" type="CELLRANGE">
                      <a:rPr lang="en-US" sz="900">
                        <a:latin typeface="+mn-lt"/>
                      </a:rPr>
                      <a:pPr/>
                      <a:t>[CELLRANGE]</a:t>
                    </a:fld>
                    <a:endParaRPr lang="en-US" sz="900" baseline="0">
                      <a:latin typeface="+mn-lt"/>
                    </a:endParaRPr>
                  </a:p>
                  <a:p>
                    <a:fld id="{F2DBB786-731A-4773-A3DD-3536CBD77F4C}" type="VALUE">
                      <a:rPr lang="en-US" sz="900">
                        <a:latin typeface="+mn-lt"/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3AC-4BA4-BF23-2104FC206D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72A81C2-1316-4183-8DEF-3D34D7A0D98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98428CC-A5F6-45A6-9C6B-7D1463227B43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3AC-4BA4-BF23-2104FC206D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CF1DDE9-15BC-4538-94B3-AB02147E6AE0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9D23E0B-4D45-45FF-BC03-6EAC8985F2BA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93AC-4BA4-BF23-2104FC206D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0" tIns="0" rIns="0" bIns="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val>
            <c:numRef>
              <c:f>Drivers!$DH$8:$DH$12</c:f>
              <c:numCache>
                <c:formatCode>0%</c:formatCode>
                <c:ptCount val="5"/>
                <c:pt idx="0">
                  <c:v>0.625</c:v>
                </c:pt>
                <c:pt idx="1">
                  <c:v>0.3125</c:v>
                </c:pt>
                <c:pt idx="2">
                  <c:v>0.1875</c:v>
                </c:pt>
                <c:pt idx="3">
                  <c:v>0.42812499999999998</c:v>
                </c:pt>
                <c:pt idx="4">
                  <c:v>0.29249999999999998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Drivers!$DE$8:$DE$12</c15:f>
                <c15:dlblRangeCache>
                  <c:ptCount val="5"/>
                  <c:pt idx="0">
                    <c:v>Orig</c:v>
                  </c:pt>
                  <c:pt idx="1">
                    <c:v>Sell</c:v>
                  </c:pt>
                  <c:pt idx="2">
                    <c:v>Home</c:v>
                  </c:pt>
                  <c:pt idx="3">
                    <c:v>FHA</c:v>
                  </c:pt>
                  <c:pt idx="4">
                    <c:v>Retail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93AC-4BA4-BF23-2104FC206D9F}"/>
            </c:ext>
          </c:extLst>
        </c:ser>
        <c:ser>
          <c:idx val="1"/>
          <c:order val="1"/>
          <c:spPr>
            <a:solidFill>
              <a:schemeClr val="accent2"/>
            </a:solidFill>
            <a:ln w="0"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93AC-4BA4-BF23-2104FC206D9F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3AC-4BA4-BF23-2104FC206D9F}"/>
              </c:ext>
            </c:extLst>
          </c:dPt>
          <c:dPt>
            <c:idx val="2"/>
            <c:invertIfNegative val="0"/>
            <c:bubble3D val="0"/>
            <c:spPr>
              <a:solidFill>
                <a:srgbClr val="E5E2D3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93AC-4BA4-BF23-2104FC206D9F}"/>
              </c:ext>
            </c:extLst>
          </c:dPt>
          <c:dPt>
            <c:idx val="3"/>
            <c:invertIfNegative val="0"/>
            <c:bubble3D val="0"/>
            <c:spPr>
              <a:solidFill>
                <a:srgbClr val="F5E2E0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93AC-4BA4-BF23-2104FC206D9F}"/>
              </c:ext>
            </c:extLst>
          </c:dPt>
          <c:dPt>
            <c:idx val="4"/>
            <c:invertIfNegative val="0"/>
            <c:bubble3D val="0"/>
            <c:spPr>
              <a:solidFill>
                <a:srgbClr val="DFEDD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3AC-4BA4-BF23-2104FC206D9F}"/>
              </c:ext>
            </c:extLst>
          </c:dPt>
          <c:dPt>
            <c:idx val="5"/>
            <c:invertIfNegative val="0"/>
            <c:bubble3D val="0"/>
            <c:spPr>
              <a:solidFill>
                <a:srgbClr val="F7F9F3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93AC-4BA4-BF23-2104FC206D9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2EDFDF25-1769-4723-B3CB-A8FD8717702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D3F9B296-3FCE-4772-99AC-9C31E7E0CF37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93AC-4BA4-BF23-2104FC206D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E68D280-E903-40D2-AF79-5465F258C4F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1BD87F9-0E48-42C7-B82D-839B4165BAC2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93AC-4BA4-BF23-2104FC206D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CE629C2-8AF2-429B-BAA7-3C943E2C741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41E5440-57E2-4A4D-87FE-B6F296119762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93AC-4BA4-BF23-2104FC206D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DC357FF-5761-4EAC-A693-2F39AE00849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3C2E0F5-4C10-474B-ABC1-F394EBB11950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93AC-4BA4-BF23-2104FC206D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A2620D3-0BFE-494D-9FEA-8C9D57023F9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ABF8CA1-C5D1-43B6-9C6F-49CC164B3F5D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93AC-4BA4-BF23-2104FC206D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0" tIns="0" rIns="0" bIns="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val>
            <c:numRef>
              <c:f>Drivers!$DI$8:$DI$12</c:f>
              <c:numCache>
                <c:formatCode>0%</c:formatCode>
                <c:ptCount val="5"/>
                <c:pt idx="0">
                  <c:v>0.375</c:v>
                </c:pt>
                <c:pt idx="1">
                  <c:v>0.6875</c:v>
                </c:pt>
                <c:pt idx="2">
                  <c:v>0.8125</c:v>
                </c:pt>
                <c:pt idx="3">
                  <c:v>0.33721499999999999</c:v>
                </c:pt>
                <c:pt idx="4">
                  <c:v>0.28937499999999999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Drivers!$DF$8:$DF$12</c15:f>
                <c15:dlblRangeCache>
                  <c:ptCount val="5"/>
                  <c:pt idx="0">
                    <c:v>OnHand</c:v>
                  </c:pt>
                  <c:pt idx="1">
                    <c:v>Mon</c:v>
                  </c:pt>
                  <c:pt idx="2">
                    <c:v>Bus</c:v>
                  </c:pt>
                  <c:pt idx="3">
                    <c:v>Conform</c:v>
                  </c:pt>
                  <c:pt idx="4">
                    <c:v>Whsale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9-93AC-4BA4-BF23-2104FC206D9F}"/>
            </c:ext>
          </c:extLst>
        </c:ser>
        <c:ser>
          <c:idx val="2"/>
          <c:order val="2"/>
          <c:spPr>
            <a:solidFill>
              <a:schemeClr val="accent3"/>
            </a:solidFill>
            <a:ln w="0"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0D4D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93AC-4BA4-BF23-2104FC206D9F}"/>
              </c:ext>
            </c:extLst>
          </c:dPt>
          <c:dPt>
            <c:idx val="4"/>
            <c:invertIfNegative val="0"/>
            <c:bubble3D val="0"/>
            <c:spPr>
              <a:solidFill>
                <a:srgbClr val="D1E4BB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93AC-4BA4-BF23-2104FC206D9F}"/>
              </c:ext>
            </c:extLst>
          </c:dPt>
          <c:dPt>
            <c:idx val="5"/>
            <c:invertIfNegative val="0"/>
            <c:bubble3D val="0"/>
            <c:spPr>
              <a:solidFill>
                <a:srgbClr val="E9EFDD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93AC-4BA4-BF23-2104FC206D9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93AC-4BA4-BF23-2104FC206D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93AC-4BA4-BF23-2104FC206D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93AC-4BA4-BF23-2104FC206D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9D40AAA-1AB9-419D-9743-166A64B4E28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D57660D7-705D-4FA4-A037-BDB7714182CA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93AC-4BA4-BF23-2104FC206D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1DE523A-8524-4D09-933A-769FF67C38C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4812D43-FFAE-4491-9DAA-7C81864E4C5E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93AC-4BA4-BF23-2104FC206D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0" tIns="0" rIns="0" bIns="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val>
            <c:numRef>
              <c:f>Drivers!$DJ$8:$DJ$12</c:f>
              <c:numCache>
                <c:formatCode>0%</c:formatCode>
                <c:ptCount val="5"/>
                <c:pt idx="3">
                  <c:v>0.23466000000000001</c:v>
                </c:pt>
                <c:pt idx="4">
                  <c:v>0.41812500000000002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Drivers!$DG$8:$DG$12</c15:f>
                <c15:dlblRangeCache>
                  <c:ptCount val="5"/>
                  <c:pt idx="3">
                    <c:v>Jumbo</c:v>
                  </c:pt>
                  <c:pt idx="4">
                    <c:v>Call Ctr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3-93AC-4BA4-BF23-2104FC206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84887599"/>
        <c:axId val="1323327567"/>
      </c:barChart>
      <c:catAx>
        <c:axId val="1484887599"/>
        <c:scaling>
          <c:orientation val="minMax"/>
        </c:scaling>
        <c:delete val="1"/>
        <c:axPos val="t"/>
        <c:majorTickMark val="out"/>
        <c:minorTickMark val="none"/>
        <c:tickLblPos val="nextTo"/>
        <c:crossAx val="1323327567"/>
        <c:crosses val="autoZero"/>
        <c:auto val="1"/>
        <c:lblAlgn val="ctr"/>
        <c:lblOffset val="100"/>
        <c:noMultiLvlLbl val="0"/>
      </c:catAx>
      <c:valAx>
        <c:axId val="1323327567"/>
        <c:scaling>
          <c:orientation val="maxMin"/>
        </c:scaling>
        <c:delete val="1"/>
        <c:axPos val="l"/>
        <c:numFmt formatCode="0%" sourceLinked="1"/>
        <c:majorTickMark val="out"/>
        <c:minorTickMark val="none"/>
        <c:tickLblPos val="nextTo"/>
        <c:crossAx val="148488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 Semibold" panose="020B0702040204020203" pitchFamily="34" charset="0"/>
          <a:cs typeface="Segoe UI Semibold" panose="020B070204020402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79746019771518E-3"/>
          <c:y val="9.2592592592592587E-3"/>
          <c:w val="0.98841765288320993"/>
          <c:h val="0.97741506270049572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 w="0"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1EAF3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90-4A79-8B55-3428E80F38A3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90-4A79-8B55-3428E80F38A3}"/>
              </c:ext>
            </c:extLst>
          </c:dPt>
          <c:dPt>
            <c:idx val="2"/>
            <c:invertIfNegative val="0"/>
            <c:bubble3D val="0"/>
            <c:spPr>
              <a:solidFill>
                <a:srgbClr val="F3F2E9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90-4A79-8B55-3428E80F38A3}"/>
              </c:ext>
            </c:extLst>
          </c:dPt>
          <c:dPt>
            <c:idx val="3"/>
            <c:invertIfNegative val="0"/>
            <c:bubble3D val="0"/>
            <c:spPr>
              <a:solidFill>
                <a:srgbClr val="F9EFEE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90-4A79-8B55-3428E80F38A3}"/>
              </c:ext>
            </c:extLst>
          </c:dPt>
          <c:dPt>
            <c:idx val="4"/>
            <c:invertIfNegative val="0"/>
            <c:bubble3D val="0"/>
            <c:spPr>
              <a:solidFill>
                <a:srgbClr val="EDF5E6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790-4A79-8B55-3428E80F38A3}"/>
              </c:ext>
            </c:extLst>
          </c:dPt>
          <c:dPt>
            <c:idx val="5"/>
            <c:invertIfNegative val="0"/>
            <c:bubble3D val="0"/>
            <c:spPr>
              <a:solidFill>
                <a:srgbClr val="F0F4E8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790-4A79-8B55-3428E80F38A3}"/>
              </c:ext>
            </c:extLst>
          </c:dPt>
          <c:dLbls>
            <c:dLbl>
              <c:idx val="0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349E952F-A075-4421-9487-BBCE70DCD35E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D1CF5E9D-EDDC-4FA6-8160-2A2912F75CAA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E1EAF3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790-4A79-8B55-3428E80F38A3}"/>
                </c:ext>
              </c:extLst>
            </c:dLbl>
            <c:dLbl>
              <c:idx val="1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F809EF4A-106D-4180-BCCF-15EE723D1151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79C866FF-07A3-4D90-80EF-EB9A5D40C213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790-4A79-8B55-3428E80F38A3}"/>
                </c:ext>
              </c:extLst>
            </c:dLbl>
            <c:dLbl>
              <c:idx val="2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8FBB12F9-EA4F-4675-A8F9-E17E86747D4F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DEAA9071-2A26-47FA-A42E-FBBFB103A8A8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F3F2E9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790-4A79-8B55-3428E80F38A3}"/>
                </c:ext>
              </c:extLst>
            </c:dLbl>
            <c:dLbl>
              <c:idx val="3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5082A79C-F15D-4882-97F7-B7B6FE046FED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7AA31966-4244-4E73-856D-F1B1AF522ACB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F9EFEE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790-4A79-8B55-3428E80F38A3}"/>
                </c:ext>
              </c:extLst>
            </c:dLbl>
            <c:dLbl>
              <c:idx val="4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A1336DFD-7A3D-42A8-A0CE-E218EA22CA2F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A8A64AEE-26A4-40E6-B59F-0B9FF1C369A1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EDF5E6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790-4A79-8B55-3428E80F38A3}"/>
                </c:ext>
              </c:extLst>
            </c:dLbl>
            <c:numFmt formatCode="#,##0.0;[Red]\-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none" lIns="0" tIns="0" rIns="0" bIns="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val>
            <c:numRef>
              <c:f>Drivers!$DP$8:$DP$12</c:f>
              <c:numCache>
                <c:formatCode>#,##0.0</c:formatCode>
                <c:ptCount val="5"/>
                <c:pt idx="0">
                  <c:v>1.8041994909090917</c:v>
                </c:pt>
                <c:pt idx="1">
                  <c:v>-1.7414596000000024</c:v>
                </c:pt>
                <c:pt idx="2">
                  <c:v>-2.5045096000000004</c:v>
                </c:pt>
                <c:pt idx="3">
                  <c:v>6.3819374999999994</c:v>
                </c:pt>
                <c:pt idx="4">
                  <c:v>3.2259297760000027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Drivers!$DM$8:$DM$12</c15:f>
                <c15:dlblRangeCache>
                  <c:ptCount val="5"/>
                  <c:pt idx="0">
                    <c:v>Orig </c:v>
                  </c:pt>
                  <c:pt idx="1">
                    <c:v>Sell </c:v>
                  </c:pt>
                  <c:pt idx="2">
                    <c:v>Home </c:v>
                  </c:pt>
                  <c:pt idx="3">
                    <c:v>FHA </c:v>
                  </c:pt>
                  <c:pt idx="4">
                    <c:v>Retail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5790-4A79-8B55-3428E80F38A3}"/>
            </c:ext>
          </c:extLst>
        </c:ser>
        <c:ser>
          <c:idx val="1"/>
          <c:order val="1"/>
          <c:spPr>
            <a:solidFill>
              <a:schemeClr val="accent2"/>
            </a:solidFill>
            <a:ln w="0"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5790-4A79-8B55-3428E80F38A3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5790-4A79-8B55-3428E80F38A3}"/>
              </c:ext>
            </c:extLst>
          </c:dPt>
          <c:dPt>
            <c:idx val="2"/>
            <c:invertIfNegative val="0"/>
            <c:bubble3D val="0"/>
            <c:spPr>
              <a:solidFill>
                <a:srgbClr val="E5E2D3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5790-4A79-8B55-3428E80F38A3}"/>
              </c:ext>
            </c:extLst>
          </c:dPt>
          <c:dPt>
            <c:idx val="3"/>
            <c:invertIfNegative val="0"/>
            <c:bubble3D val="0"/>
            <c:spPr>
              <a:solidFill>
                <a:srgbClr val="F5E2E0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5790-4A79-8B55-3428E80F38A3}"/>
              </c:ext>
            </c:extLst>
          </c:dPt>
          <c:dPt>
            <c:idx val="4"/>
            <c:invertIfNegative val="0"/>
            <c:bubble3D val="0"/>
            <c:spPr>
              <a:solidFill>
                <a:srgbClr val="DFEDD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5790-4A79-8B55-3428E80F38A3}"/>
              </c:ext>
            </c:extLst>
          </c:dPt>
          <c:dPt>
            <c:idx val="5"/>
            <c:invertIfNegative val="0"/>
            <c:bubble3D val="0"/>
            <c:spPr>
              <a:solidFill>
                <a:srgbClr val="F7F9F3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5790-4A79-8B55-3428E80F38A3}"/>
              </c:ext>
            </c:extLst>
          </c:dPt>
          <c:dLbls>
            <c:dLbl>
              <c:idx val="0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14324771-ED0B-4348-B181-ACE21C54DA2F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47A9C0D8-9E0C-4A0C-8D30-BC0F46E75F9B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chemeClr val="tx2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790-4A79-8B55-3428E80F38A3}"/>
                </c:ext>
              </c:extLst>
            </c:dLbl>
            <c:dLbl>
              <c:idx val="1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D3A9ED52-FD62-4AC2-BE30-96C191483821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D8C3F461-789F-481A-B975-B7B2A44C4D13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chemeClr val="bg1">
                    <a:lumMod val="85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5790-4A79-8B55-3428E80F38A3}"/>
                </c:ext>
              </c:extLst>
            </c:dLbl>
            <c:dLbl>
              <c:idx val="2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38271FCA-A9AC-4072-BE8C-B005CFF32A32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B7279D4F-3506-4748-9423-A18C334715CC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E5E2D3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5790-4A79-8B55-3428E80F38A3}"/>
                </c:ext>
              </c:extLst>
            </c:dLbl>
            <c:dLbl>
              <c:idx val="3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FA73100D-6A62-4614-B79D-FDFC2E22668F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C8D63AB2-46A8-42A2-BD5E-2DA168E94D9C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F5E2E0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790-4A79-8B55-3428E80F38A3}"/>
                </c:ext>
              </c:extLst>
            </c:dLbl>
            <c:dLbl>
              <c:idx val="4"/>
              <c:tx>
                <c:rich>
                  <a:bodyPr rot="0" spcFirstLastPara="1" vertOverflow="clip" horzOverflow="clip" vert="horz" wrap="none" lIns="0" tIns="0" rIns="0" bIns="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" panose="020B0502040204020203" pitchFamily="34" charset="0"/>
                      </a:defRPr>
                    </a:pPr>
                    <a:fld id="{CC13194C-6F2C-4B73-8EB0-45DB1C578BEB}" type="CELLRANG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96F9D17E-BD84-4C35-89AF-D2C291C17D27}" type="VALUE">
                      <a:rPr lang="en-US" baseline="0"/>
                      <a:pPr algn="ctr"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cs typeface="Segoe UI" panose="020B0502040204020203" pitchFamily="34" charset="0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DFEDD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5790-4A79-8B55-3428E80F38A3}"/>
                </c:ext>
              </c:extLst>
            </c:dLbl>
            <c:numFmt formatCode="#,##0.0;[Red]\-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none" lIns="0" tIns="0" rIns="0" bIns="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val>
            <c:numRef>
              <c:f>Drivers!$DQ$8:$DQ$12</c:f>
              <c:numCache>
                <c:formatCode>#,##0.0</c:formatCode>
                <c:ptCount val="5"/>
                <c:pt idx="0">
                  <c:v>5.0620909090909088</c:v>
                </c:pt>
                <c:pt idx="1">
                  <c:v>8.6077499999999958</c:v>
                </c:pt>
                <c:pt idx="2">
                  <c:v>9.3708000000000027</c:v>
                </c:pt>
                <c:pt idx="3">
                  <c:v>7.3139333000000022</c:v>
                </c:pt>
                <c:pt idx="4">
                  <c:v>-2.1865599959999997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Drivers!$DN$8:$DN$12</c15:f>
                <c15:dlblRangeCache>
                  <c:ptCount val="5"/>
                  <c:pt idx="0">
                    <c:v>OnHand </c:v>
                  </c:pt>
                  <c:pt idx="1">
                    <c:v>Mon </c:v>
                  </c:pt>
                  <c:pt idx="2">
                    <c:v>Bus </c:v>
                  </c:pt>
                  <c:pt idx="3">
                    <c:v>Conform </c:v>
                  </c:pt>
                  <c:pt idx="4">
                    <c:v>Whsale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9-5790-4A79-8B55-3428E80F38A3}"/>
            </c:ext>
          </c:extLst>
        </c:ser>
        <c:ser>
          <c:idx val="2"/>
          <c:order val="2"/>
          <c:spPr>
            <a:solidFill>
              <a:srgbClr val="F0D4D1"/>
            </a:solidFill>
            <a:ln w="0"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0D4D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790-4A79-8B55-3428E80F38A3}"/>
              </c:ext>
            </c:extLst>
          </c:dPt>
          <c:dPt>
            <c:idx val="4"/>
            <c:invertIfNegative val="0"/>
            <c:bubble3D val="0"/>
            <c:spPr>
              <a:solidFill>
                <a:srgbClr val="D1E4BB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790-4A79-8B55-3428E80F38A3}"/>
              </c:ext>
            </c:extLst>
          </c:dPt>
          <c:dPt>
            <c:idx val="5"/>
            <c:invertIfNegative val="0"/>
            <c:bubble3D val="0"/>
            <c:spPr>
              <a:solidFill>
                <a:srgbClr val="F0D4D1"/>
              </a:solidFill>
              <a:ln w="0"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790-4A79-8B55-3428E80F38A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20-5790-4A79-8B55-3428E80F38A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790-4A79-8B55-3428E80F38A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5790-4A79-8B55-3428E80F38A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F3B96DB-406E-48C2-A9C5-9BF7E8B6D87A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 </a:t>
                    </a:r>
                    <a:fld id="{AB405571-D4EF-4479-A14A-322FBDCB5A79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5790-4A79-8B55-3428E80F38A3}"/>
                </c:ext>
              </c:extLst>
            </c:dLbl>
            <c:dLbl>
              <c:idx val="4"/>
              <c:tx>
                <c:rich>
                  <a:bodyPr rot="0" spcFirstLastPara="1" vertOverflow="clip" horzOverflow="clip" vert="horz" wrap="none" lIns="0" tIns="0" rIns="0" bIns="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Segoe UI Semibold" panose="020B0702040204020203" pitchFamily="34" charset="0"/>
                      </a:defRPr>
                    </a:pPr>
                    <a:fld id="{4AEFD677-6524-44D9-BB4B-5B7BDDC5CA93}" type="CELLRANGE">
                      <a:rPr lang="en-US" baseline="0"/>
                      <a:pPr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</a:defRPr>
                      </a:pPr>
                      <a:t>[CELLRANGE]</a:t>
                    </a:fld>
                    <a:r>
                      <a:rPr lang="en-US" baseline="0"/>
                      <a:t> </a:t>
                    </a:r>
                    <a:fld id="{1C8EBD9E-6FF6-43D3-B411-CACEDF63907C}" type="VALUE">
                      <a:rPr lang="en-US" baseline="0"/>
                      <a:pPr>
                        <a:defRPr sz="90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</a:defRPr>
                      </a:pPr>
                      <a:t>[VALUE]</a:t>
                    </a:fld>
                    <a:endParaRPr lang="en-US" baseline="0"/>
                  </a:p>
                </c:rich>
              </c:tx>
              <c:numFmt formatCode="#,##0.0;[Red]\-#,##0.0" sourceLinked="0"/>
              <c:spPr>
                <a:solidFill>
                  <a:srgbClr val="D1E4BB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0" tIns="0" rIns="0" bIns="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344253965087795"/>
                      <c:h val="5.143110203089180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5790-4A79-8B55-3428E80F38A3}"/>
                </c:ext>
              </c:extLst>
            </c:dLbl>
            <c:numFmt formatCode="#,##0.0;[Red]\-#,##0.0" sourceLinked="0"/>
            <c:spPr>
              <a:solidFill>
                <a:srgbClr val="F0D4D1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none" lIns="0" tIns="0" rIns="0" bIns="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val>
            <c:numRef>
              <c:f>Drivers!$DR$8:$DR$12</c:f>
              <c:numCache>
                <c:formatCode>#,##0.0</c:formatCode>
                <c:ptCount val="5"/>
                <c:pt idx="3">
                  <c:v>-6.8295804000000011</c:v>
                </c:pt>
                <c:pt idx="4">
                  <c:v>5.8269206199999992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Drivers!$DO$8:$DO$12</c15:f>
                <c15:dlblRangeCache>
                  <c:ptCount val="5"/>
                  <c:pt idx="3">
                    <c:v>Jumbo </c:v>
                  </c:pt>
                  <c:pt idx="4">
                    <c:v>Call Ctr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3-5790-4A79-8B55-3428E80F3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84887599"/>
        <c:axId val="1323327567"/>
      </c:barChart>
      <c:catAx>
        <c:axId val="1484887599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prstDash val="sysDot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defRPr>
            </a:pPr>
            <a:endParaRPr lang="en-US"/>
          </a:p>
        </c:txPr>
        <c:crossAx val="1323327567"/>
        <c:crossesAt val="0"/>
        <c:auto val="1"/>
        <c:lblAlgn val="ctr"/>
        <c:lblOffset val="0"/>
        <c:tickLblSkip val="1"/>
        <c:noMultiLvlLbl val="0"/>
      </c:catAx>
      <c:valAx>
        <c:axId val="1323327567"/>
        <c:scaling>
          <c:orientation val="minMax"/>
        </c:scaling>
        <c:delete val="1"/>
        <c:axPos val="l"/>
        <c:numFmt formatCode="&quot;$&quot;#,##0&quot;m&quot;;[Red]\-&quot;$&quot;#,##0&quot;m&quot;" sourceLinked="0"/>
        <c:majorTickMark val="none"/>
        <c:minorTickMark val="none"/>
        <c:tickLblPos val="high"/>
        <c:crossAx val="1484887599"/>
        <c:crossesAt val="0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 Semibold" panose="020B0702040204020203" pitchFamily="34" charset="0"/>
          <a:cs typeface="Segoe UI Semibold" panose="020B070204020402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checked="Checked" firstButton="1" fmlaLink="Drivers!$CP$7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https://excelmodels.com/checkout/?add-to-cart=10607&amp;coupon=SAVE2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10607&amp;coupon=SAVE20" TargetMode="External"/><Relationship Id="rId2" Type="http://schemas.openxmlformats.org/officeDocument/2006/relationships/image" Target="../media/image7.emf"/><Relationship Id="rId1" Type="http://schemas.openxmlformats.org/officeDocument/2006/relationships/image" Target="../media/image6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excelmodels.com/checkout/?add-to-cart=10607&amp;coupon=SAVE20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excelmodels.com/checkout/?add-to-cart=10607&amp;coupon=SAVE2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0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hyperlink" Target="https://excelmodels.com/checkout/?add-to-cart=10607&amp;coupon=SAVE20" TargetMode="External"/><Relationship Id="rId4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23059</xdr:colOff>
      <xdr:row>16</xdr:row>
      <xdr:rowOff>30482</xdr:rowOff>
    </xdr:from>
    <xdr:to>
      <xdr:col>8</xdr:col>
      <xdr:colOff>183079</xdr:colOff>
      <xdr:row>23</xdr:row>
      <xdr:rowOff>117789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3218CE-88AF-46A8-88EE-76E57A19BA5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919" y="3718562"/>
          <a:ext cx="3383280" cy="1016947"/>
        </a:xfrm>
        <a:prstGeom prst="rect">
          <a:avLst/>
        </a:prstGeom>
      </xdr:spPr>
    </xdr:pic>
    <xdr:clientData/>
  </xdr:twoCellAnchor>
  <xdr:twoCellAnchor editAs="absolute">
    <xdr:from>
      <xdr:col>3</xdr:col>
      <xdr:colOff>15438</xdr:colOff>
      <xdr:row>2</xdr:row>
      <xdr:rowOff>251461</xdr:rowOff>
    </xdr:from>
    <xdr:to>
      <xdr:col>10</xdr:col>
      <xdr:colOff>45918</xdr:colOff>
      <xdr:row>3</xdr:row>
      <xdr:rowOff>2495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6069E0B-481A-47C0-9DEF-A4A880B4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298" y="510541"/>
          <a:ext cx="5074920" cy="695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15440</xdr:colOff>
      <xdr:row>5</xdr:row>
      <xdr:rowOff>15240</xdr:rowOff>
    </xdr:from>
    <xdr:to>
      <xdr:col>8</xdr:col>
      <xdr:colOff>166803</xdr:colOff>
      <xdr:row>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49C6DC-BDDE-4D75-9F7B-969372E3C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300" y="1546860"/>
          <a:ext cx="3374623" cy="640080"/>
        </a:xfrm>
        <a:prstGeom prst="rect">
          <a:avLst/>
        </a:prstGeom>
      </xdr:spPr>
    </xdr:pic>
    <xdr:clientData/>
  </xdr:twoCellAnchor>
  <xdr:twoCellAnchor editAs="absolute">
    <xdr:from>
      <xdr:col>3</xdr:col>
      <xdr:colOff>22860</xdr:colOff>
      <xdr:row>1</xdr:row>
      <xdr:rowOff>76200</xdr:rowOff>
    </xdr:from>
    <xdr:to>
      <xdr:col>4</xdr:col>
      <xdr:colOff>287857</xdr:colOff>
      <xdr:row>2</xdr:row>
      <xdr:rowOff>76973</xdr:rowOff>
    </xdr:to>
    <xdr:pic>
      <xdr:nvPicPr>
        <xdr:cNvPr id="4" name="Pictur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1FB442-5A73-4C62-82ED-354E1EC4D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7720" y="205740"/>
          <a:ext cx="1453717" cy="1303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562744</xdr:colOff>
      <xdr:row>13</xdr:row>
      <xdr:rowOff>0</xdr:rowOff>
    </xdr:from>
    <xdr:to>
      <xdr:col>11</xdr:col>
      <xdr:colOff>9532</xdr:colOff>
      <xdr:row>24</xdr:row>
      <xdr:rowOff>70122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FF6F3F-6D77-1E38-5AF7-556810FEC922}"/>
            </a:ext>
          </a:extLst>
        </xdr:cNvPr>
        <xdr:cNvSpPr/>
      </xdr:nvSpPr>
      <xdr:spPr>
        <a:xfrm>
          <a:off x="4974724" y="1150620"/>
          <a:ext cx="658368" cy="946422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89511">
              <a:schemeClr val="bg1"/>
            </a:gs>
            <a:gs pos="74000">
              <a:schemeClr val="bg1"/>
            </a:gs>
            <a:gs pos="58016">
              <a:schemeClr val="bg1">
                <a:lumMod val="95000"/>
              </a:schemeClr>
            </a:gs>
            <a:gs pos="100000">
              <a:schemeClr val="bg1"/>
            </a:gs>
          </a:gsLst>
          <a:lin ang="10800000" scaled="1"/>
          <a:tileRect/>
        </a:gra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All Strategies</a:t>
          </a:r>
        </a:p>
      </xdr:txBody>
    </xdr:sp>
    <xdr:clientData/>
  </xdr:twoCellAnchor>
  <xdr:twoCellAnchor>
    <xdr:from>
      <xdr:col>13</xdr:col>
      <xdr:colOff>0</xdr:colOff>
      <xdr:row>6</xdr:row>
      <xdr:rowOff>0</xdr:rowOff>
    </xdr:from>
    <xdr:to>
      <xdr:col>16</xdr:col>
      <xdr:colOff>0</xdr:colOff>
      <xdr:row>10</xdr:row>
      <xdr:rowOff>1088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4FE1C05-DE61-CFE1-29E1-94448164DFB8}"/>
            </a:ext>
          </a:extLst>
        </xdr:cNvPr>
        <xdr:cNvSpPr/>
      </xdr:nvSpPr>
      <xdr:spPr>
        <a:xfrm>
          <a:off x="7447457" y="721895"/>
          <a:ext cx="1467943" cy="358025"/>
        </a:xfrm>
        <a:prstGeom prst="rect">
          <a:avLst/>
        </a:prstGeom>
        <a:gradFill flip="none" rotWithShape="1">
          <a:gsLst>
            <a:gs pos="0">
              <a:srgbClr val="C6D7E8"/>
            </a:gs>
            <a:gs pos="32000">
              <a:schemeClr val="tx2">
                <a:lumMod val="20000"/>
                <a:lumOff val="80000"/>
              </a:schemeClr>
            </a:gs>
            <a:gs pos="81000">
              <a:schemeClr val="bg1"/>
            </a:gs>
          </a:gsLst>
          <a:lin ang="10800000" scaled="1"/>
          <a:tileRect/>
        </a:gradFill>
        <a:ln w="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50">
              <a:solidFill>
                <a:sysClr val="windowText" lastClr="00000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All Sources</a:t>
          </a:r>
        </a:p>
      </xdr:txBody>
    </xdr:sp>
    <xdr:clientData/>
  </xdr:twoCellAnchor>
  <xdr:twoCellAnchor editAs="oneCell">
    <xdr:from>
      <xdr:col>2</xdr:col>
      <xdr:colOff>5255</xdr:colOff>
      <xdr:row>8</xdr:row>
      <xdr:rowOff>15241</xdr:rowOff>
    </xdr:from>
    <xdr:to>
      <xdr:col>3</xdr:col>
      <xdr:colOff>15923</xdr:colOff>
      <xdr:row>40</xdr:row>
      <xdr:rowOff>83248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587962-68B6-F82C-4D70-D60683818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503" y="682648"/>
          <a:ext cx="657054" cy="266931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</xdr:row>
      <xdr:rowOff>137160</xdr:rowOff>
    </xdr:from>
    <xdr:to>
      <xdr:col>8</xdr:col>
      <xdr:colOff>487680</xdr:colOff>
      <xdr:row>5</xdr:row>
      <xdr:rowOff>76422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5684430-956E-45AF-B1E5-6FFC3A24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" y="518160"/>
          <a:ext cx="2926080" cy="205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2</xdr:col>
      <xdr:colOff>30480</xdr:colOff>
      <xdr:row>2</xdr:row>
      <xdr:rowOff>45720</xdr:rowOff>
    </xdr:from>
    <xdr:to>
      <xdr:col>4</xdr:col>
      <xdr:colOff>264997</xdr:colOff>
      <xdr:row>3</xdr:row>
      <xdr:rowOff>38873</xdr:rowOff>
    </xdr:to>
    <xdr:pic>
      <xdr:nvPicPr>
        <xdr:cNvPr id="7" name="Pictu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2CAA6B-AD96-4C6B-B057-BE7B36166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9580" y="182880"/>
          <a:ext cx="1453717" cy="1303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30489</xdr:colOff>
      <xdr:row>1</xdr:row>
      <xdr:rowOff>53362</xdr:rowOff>
    </xdr:from>
    <xdr:to>
      <xdr:col>4</xdr:col>
      <xdr:colOff>325966</xdr:colOff>
      <xdr:row>1</xdr:row>
      <xdr:rowOff>183675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86A11-679A-4234-978A-709D6F31A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589" y="182902"/>
          <a:ext cx="1453717" cy="1303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30489</xdr:colOff>
      <xdr:row>1</xdr:row>
      <xdr:rowOff>53362</xdr:rowOff>
    </xdr:from>
    <xdr:to>
      <xdr:col>3</xdr:col>
      <xdr:colOff>13546</xdr:colOff>
      <xdr:row>1</xdr:row>
      <xdr:rowOff>183675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452B27-AC44-45D1-BDA2-2D051BD03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589" y="182902"/>
          <a:ext cx="1453717" cy="1303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68581</xdr:colOff>
      <xdr:row>6</xdr:row>
      <xdr:rowOff>38100</xdr:rowOff>
    </xdr:from>
    <xdr:to>
      <xdr:col>5</xdr:col>
      <xdr:colOff>281940</xdr:colOff>
      <xdr:row>25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DB6CBE-E83D-4A94-81E1-24B3D2BD1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8313</xdr:colOff>
      <xdr:row>6</xdr:row>
      <xdr:rowOff>15238</xdr:rowOff>
    </xdr:from>
    <xdr:to>
      <xdr:col>6</xdr:col>
      <xdr:colOff>2424624</xdr:colOff>
      <xdr:row>25</xdr:row>
      <xdr:rowOff>7064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75C4646-9116-4F9F-97EC-400F1B929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15933</xdr:colOff>
      <xdr:row>5</xdr:row>
      <xdr:rowOff>207818</xdr:rowOff>
    </xdr:from>
    <xdr:to>
      <xdr:col>9</xdr:col>
      <xdr:colOff>833846</xdr:colOff>
      <xdr:row>27</xdr:row>
      <xdr:rowOff>53340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893A6F-FFA8-48BD-A54E-F7A4C6DA70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</xdr:col>
      <xdr:colOff>205741</xdr:colOff>
      <xdr:row>6</xdr:row>
      <xdr:rowOff>38100</xdr:rowOff>
    </xdr:from>
    <xdr:to>
      <xdr:col>4</xdr:col>
      <xdr:colOff>62382</xdr:colOff>
      <xdr:row>14</xdr:row>
      <xdr:rowOff>114309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58EDF9F7-2CF1-717A-B3EC-F0459908C6D1}"/>
            </a:ext>
          </a:extLst>
        </xdr:cNvPr>
        <xdr:cNvGrpSpPr/>
      </xdr:nvGrpSpPr>
      <xdr:grpSpPr>
        <a:xfrm>
          <a:off x="411481" y="1272540"/>
          <a:ext cx="870101" cy="1112529"/>
          <a:chOff x="373381" y="1089660"/>
          <a:chExt cx="870101" cy="1112529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7" name="Group 6">
                <a:extLst>
                  <a:ext uri="{FF2B5EF4-FFF2-40B4-BE49-F238E27FC236}">
                    <a16:creationId xmlns:a16="http://schemas.microsoft.com/office/drawing/2014/main" id="{0C62A629-E4CF-6149-58F3-D694A9B1BE81}"/>
                  </a:ext>
                </a:extLst>
              </xdr:cNvPr>
              <xdr:cNvGrpSpPr/>
            </xdr:nvGrpSpPr>
            <xdr:grpSpPr>
              <a:xfrm>
                <a:off x="982982" y="1205279"/>
                <a:ext cx="260500" cy="996910"/>
                <a:chOff x="990602" y="1480964"/>
                <a:chExt cx="260500" cy="972533"/>
              </a:xfrm>
            </xdr:grpSpPr>
            <xdr:sp macro="" textlink="">
              <xdr:nvSpPr>
                <xdr:cNvPr id="86030" name="Option Button 14" hidden="1">
                  <a:extLst>
                    <a:ext uri="{63B3BB69-23CF-44E3-9099-C40C66FF867C}">
                      <a14:compatExt spid="_x0000_s86030"/>
                    </a:ext>
                    <a:ext uri="{FF2B5EF4-FFF2-40B4-BE49-F238E27FC236}">
                      <a16:creationId xmlns:a16="http://schemas.microsoft.com/office/drawing/2014/main" id="{00000000-0008-0000-0400-00000E500100}"/>
                    </a:ext>
                  </a:extLst>
                </xdr:cNvPr>
                <xdr:cNvSpPr/>
              </xdr:nvSpPr>
              <xdr:spPr bwMode="auto">
                <a:xfrm>
                  <a:off x="990602" y="1480964"/>
                  <a:ext cx="260500" cy="1972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86031" name="Option Button 15" hidden="1">
                  <a:extLst>
                    <a:ext uri="{63B3BB69-23CF-44E3-9099-C40C66FF867C}">
                      <a14:compatExt spid="_x0000_s86031"/>
                    </a:ext>
                    <a:ext uri="{FF2B5EF4-FFF2-40B4-BE49-F238E27FC236}">
                      <a16:creationId xmlns:a16="http://schemas.microsoft.com/office/drawing/2014/main" id="{00000000-0008-0000-0400-00000F500100}"/>
                    </a:ext>
                  </a:extLst>
                </xdr:cNvPr>
                <xdr:cNvSpPr/>
              </xdr:nvSpPr>
              <xdr:spPr bwMode="auto">
                <a:xfrm>
                  <a:off x="990602" y="1636021"/>
                  <a:ext cx="260500" cy="1972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86032" name="Option Button 16" hidden="1">
                  <a:extLst>
                    <a:ext uri="{63B3BB69-23CF-44E3-9099-C40C66FF867C}">
                      <a14:compatExt spid="_x0000_s86032"/>
                    </a:ext>
                    <a:ext uri="{FF2B5EF4-FFF2-40B4-BE49-F238E27FC236}">
                      <a16:creationId xmlns:a16="http://schemas.microsoft.com/office/drawing/2014/main" id="{00000000-0008-0000-0400-000010500100}"/>
                    </a:ext>
                  </a:extLst>
                </xdr:cNvPr>
                <xdr:cNvSpPr/>
              </xdr:nvSpPr>
              <xdr:spPr bwMode="auto">
                <a:xfrm>
                  <a:off x="990602" y="1791083"/>
                  <a:ext cx="260500" cy="1972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86033" name="Option Button 17" hidden="1">
                  <a:extLst>
                    <a:ext uri="{63B3BB69-23CF-44E3-9099-C40C66FF867C}">
                      <a14:compatExt spid="_x0000_s86033"/>
                    </a:ext>
                    <a:ext uri="{FF2B5EF4-FFF2-40B4-BE49-F238E27FC236}">
                      <a16:creationId xmlns:a16="http://schemas.microsoft.com/office/drawing/2014/main" id="{00000000-0008-0000-0400-000011500100}"/>
                    </a:ext>
                  </a:extLst>
                </xdr:cNvPr>
                <xdr:cNvSpPr/>
              </xdr:nvSpPr>
              <xdr:spPr bwMode="auto">
                <a:xfrm>
                  <a:off x="990602" y="1946146"/>
                  <a:ext cx="260500" cy="1972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86034" name="Option Button 18" hidden="1">
                  <a:extLst>
                    <a:ext uri="{63B3BB69-23CF-44E3-9099-C40C66FF867C}">
                      <a14:compatExt spid="_x0000_s86034"/>
                    </a:ext>
                    <a:ext uri="{FF2B5EF4-FFF2-40B4-BE49-F238E27FC236}">
                      <a16:creationId xmlns:a16="http://schemas.microsoft.com/office/drawing/2014/main" id="{00000000-0008-0000-0400-000012500100}"/>
                    </a:ext>
                  </a:extLst>
                </xdr:cNvPr>
                <xdr:cNvSpPr/>
              </xdr:nvSpPr>
              <xdr:spPr bwMode="auto">
                <a:xfrm>
                  <a:off x="990602" y="2101207"/>
                  <a:ext cx="260500" cy="1972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86035" name="Option Button 19" hidden="1">
                  <a:extLst>
                    <a:ext uri="{63B3BB69-23CF-44E3-9099-C40C66FF867C}">
                      <a14:compatExt spid="_x0000_s86035"/>
                    </a:ext>
                    <a:ext uri="{FF2B5EF4-FFF2-40B4-BE49-F238E27FC236}">
                      <a16:creationId xmlns:a16="http://schemas.microsoft.com/office/drawing/2014/main" id="{00000000-0008-0000-0400-000013500100}"/>
                    </a:ext>
                  </a:extLst>
                </xdr:cNvPr>
                <xdr:cNvSpPr/>
              </xdr:nvSpPr>
              <xdr:spPr bwMode="auto">
                <a:xfrm>
                  <a:off x="990602" y="2256270"/>
                  <a:ext cx="260500" cy="1972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2295A1C5-B9BA-3146-8825-502985E173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73381" y="1089660"/>
            <a:ext cx="614477" cy="109728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30489</xdr:colOff>
      <xdr:row>1</xdr:row>
      <xdr:rowOff>53362</xdr:rowOff>
    </xdr:from>
    <xdr:to>
      <xdr:col>4</xdr:col>
      <xdr:colOff>684106</xdr:colOff>
      <xdr:row>1</xdr:row>
      <xdr:rowOff>183675</xdr:rowOff>
    </xdr:to>
    <xdr:pic>
      <xdr:nvPicPr>
        <xdr:cNvPr id="6" name="Pictur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8C7A32-1A10-BA81-7EC2-2C997EE3D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9589" y="182902"/>
          <a:ext cx="1453717" cy="130313"/>
        </a:xfrm>
        <a:prstGeom prst="rect">
          <a:avLst/>
        </a:prstGeom>
      </xdr:spPr>
    </xdr:pic>
    <xdr:clientData/>
  </xdr:twoCellAnchor>
  <xdr:twoCellAnchor editAs="oneCell">
    <xdr:from>
      <xdr:col>4</xdr:col>
      <xdr:colOff>327660</xdr:colOff>
      <xdr:row>3</xdr:row>
      <xdr:rowOff>114300</xdr:rowOff>
    </xdr:from>
    <xdr:to>
      <xdr:col>4</xdr:col>
      <xdr:colOff>2377440</xdr:colOff>
      <xdr:row>4</xdr:row>
      <xdr:rowOff>172322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8E6FC16-DBF7-4A0D-8A61-7892546B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860" y="762000"/>
          <a:ext cx="2049780" cy="18756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0660-AE1C-4791-9666-F054F9317CC8}">
  <sheetPr codeName="Sheet1">
    <tabColor rgb="FF0080EA"/>
    <pageSetUpPr fitToPage="1"/>
  </sheetPr>
  <dimension ref="A1:DP28"/>
  <sheetViews>
    <sheetView showGridLines="0" showRowColHeaders="0" tabSelected="1" zoomScaleNormal="100" zoomScaleSheetLayoutView="85" workbookViewId="0">
      <selection activeCell="M16" sqref="M16"/>
    </sheetView>
  </sheetViews>
  <sheetFormatPr defaultColWidth="8.19921875" defaultRowHeight="10.199999999999999" x14ac:dyDescent="0.2"/>
  <cols>
    <col min="1" max="1" width="2.69921875" style="5" customWidth="1"/>
    <col min="2" max="2" width="1.796875" style="5" customWidth="1"/>
    <col min="3" max="3" width="5.796875" style="2" customWidth="1"/>
    <col min="4" max="4" width="15.59765625" style="2" customWidth="1"/>
    <col min="5" max="5" width="13.3984375" style="5" customWidth="1"/>
    <col min="6" max="6" width="5.8984375" style="2" customWidth="1"/>
    <col min="7" max="7" width="5.8984375" style="5" customWidth="1"/>
    <col min="8" max="8" width="1.5" style="5" customWidth="1"/>
    <col min="9" max="9" width="12.19921875" style="2" bestFit="1" customWidth="1"/>
    <col min="10" max="10" width="11.69921875" style="18" customWidth="1"/>
    <col min="11" max="16384" width="8.19921875" style="5"/>
  </cols>
  <sheetData>
    <row r="1" spans="1:120" x14ac:dyDescent="0.2">
      <c r="A1" s="21" t="s">
        <v>2</v>
      </c>
      <c r="B1" s="1"/>
      <c r="C1" s="1"/>
      <c r="D1" s="1"/>
      <c r="E1" s="1"/>
      <c r="F1" s="1"/>
      <c r="G1" s="1"/>
      <c r="H1" s="1"/>
      <c r="I1" s="3"/>
      <c r="J1" s="5"/>
      <c r="W1" s="3"/>
      <c r="X1" s="3"/>
      <c r="Y1" s="3"/>
      <c r="Z1" s="3"/>
      <c r="AA1" s="3"/>
      <c r="AB1" s="3"/>
      <c r="AC1" s="3"/>
      <c r="AD1" s="3"/>
      <c r="AE1" s="3"/>
      <c r="AG1" s="2"/>
      <c r="BH1" s="24"/>
      <c r="BS1" s="22"/>
      <c r="BU1" s="22"/>
      <c r="BV1" s="22"/>
      <c r="BW1" s="22"/>
      <c r="BX1" s="22"/>
      <c r="BY1" s="22"/>
      <c r="BZ1" s="22"/>
      <c r="CI1" s="23"/>
      <c r="CJ1" s="23"/>
      <c r="CK1" s="23"/>
      <c r="CL1" s="23"/>
      <c r="CM1" s="23"/>
      <c r="CN1" s="23"/>
      <c r="CO1" s="23"/>
      <c r="CP1" s="23"/>
      <c r="CQ1" s="24"/>
      <c r="CR1" s="24"/>
      <c r="CS1" s="22"/>
      <c r="CT1" s="22"/>
      <c r="CU1" s="22"/>
      <c r="CW1" s="23"/>
      <c r="CX1" s="23"/>
      <c r="CY1" s="23"/>
      <c r="CZ1" s="23"/>
      <c r="DA1" s="23"/>
      <c r="DB1" s="23"/>
      <c r="DC1" s="26"/>
      <c r="DD1" s="26"/>
      <c r="DE1" s="26"/>
      <c r="DF1" s="26"/>
      <c r="DG1" s="27"/>
      <c r="DH1" s="25"/>
      <c r="DI1" s="25"/>
      <c r="DJ1" s="27"/>
      <c r="DK1" s="28"/>
      <c r="DL1" s="27"/>
      <c r="DM1" s="27"/>
      <c r="DN1" s="25"/>
      <c r="DO1" s="25"/>
      <c r="DP1" s="28"/>
    </row>
    <row r="2" spans="1:120" x14ac:dyDescent="0.2">
      <c r="A2" s="116"/>
      <c r="B2" s="116"/>
      <c r="C2" s="5"/>
      <c r="D2" s="5"/>
      <c r="F2" s="5"/>
      <c r="I2" s="5"/>
      <c r="J2" s="5"/>
    </row>
    <row r="3" spans="1:120" ht="74.400000000000006" customHeight="1" x14ac:dyDescent="0.2">
      <c r="C3" s="117"/>
      <c r="D3" s="59"/>
      <c r="F3" s="59"/>
      <c r="H3" s="16"/>
    </row>
    <row r="4" spans="1:120" ht="12" customHeight="1" x14ac:dyDescent="0.2">
      <c r="C4" s="117"/>
      <c r="D4" s="1"/>
      <c r="E4" s="3"/>
      <c r="F4" s="1"/>
      <c r="G4" s="3"/>
      <c r="H4" s="1"/>
      <c r="I4" s="1"/>
      <c r="J4" s="7"/>
    </row>
    <row r="5" spans="1:120" s="1" customFormat="1" ht="16.8" customHeight="1" x14ac:dyDescent="0.3">
      <c r="C5" s="2"/>
      <c r="D5" s="4" t="s">
        <v>184</v>
      </c>
      <c r="E5" s="121"/>
      <c r="F5" s="121"/>
      <c r="G5" s="121"/>
      <c r="H5" s="121"/>
      <c r="I5" s="121"/>
      <c r="J5" s="7"/>
    </row>
    <row r="6" spans="1:120" s="1" customFormat="1" ht="48.6" customHeight="1" x14ac:dyDescent="0.3">
      <c r="D6" s="121"/>
      <c r="E6" s="122"/>
      <c r="F6" s="120"/>
      <c r="G6" s="122"/>
      <c r="H6" s="120"/>
      <c r="I6" s="120"/>
      <c r="J6" s="2"/>
    </row>
    <row r="7" spans="1:120" s="1" customFormat="1" ht="14.4" customHeight="1" x14ac:dyDescent="0.3">
      <c r="D7" s="121"/>
      <c r="E7" s="122"/>
      <c r="F7" s="120"/>
      <c r="G7" s="122"/>
      <c r="H7" s="120"/>
      <c r="I7" s="120"/>
      <c r="J7" s="2"/>
    </row>
    <row r="8" spans="1:120" s="1" customFormat="1" ht="14.4" x14ac:dyDescent="0.3">
      <c r="D8" s="123" t="s">
        <v>45</v>
      </c>
      <c r="E8" s="123" t="s">
        <v>172</v>
      </c>
      <c r="F8" s="123" t="s">
        <v>183</v>
      </c>
      <c r="G8" s="123"/>
      <c r="H8" s="120"/>
      <c r="I8" s="120"/>
      <c r="J8" s="2"/>
    </row>
    <row r="9" spans="1:120" s="1" customFormat="1" ht="12" customHeight="1" x14ac:dyDescent="0.3">
      <c r="B9" s="6"/>
      <c r="C9" s="7"/>
      <c r="D9" s="6" t="s">
        <v>173</v>
      </c>
      <c r="E9" s="6" t="s">
        <v>23</v>
      </c>
      <c r="F9" s="6" t="s">
        <v>134</v>
      </c>
      <c r="G9" s="6"/>
      <c r="H9" s="121"/>
      <c r="I9" s="121"/>
      <c r="J9" s="7"/>
    </row>
    <row r="10" spans="1:120" s="1" customFormat="1" ht="12" customHeight="1" x14ac:dyDescent="0.3">
      <c r="B10" s="6"/>
      <c r="C10" s="7"/>
      <c r="D10" s="6" t="s">
        <v>174</v>
      </c>
      <c r="E10" s="6" t="s">
        <v>175</v>
      </c>
      <c r="F10" s="6" t="s">
        <v>133</v>
      </c>
      <c r="G10" s="6"/>
      <c r="H10" s="121"/>
      <c r="I10" s="121"/>
      <c r="J10" s="7"/>
    </row>
    <row r="11" spans="1:120" s="1" customFormat="1" ht="12" customHeight="1" x14ac:dyDescent="0.3">
      <c r="B11" s="6"/>
      <c r="C11" s="7"/>
      <c r="D11" s="6" t="s">
        <v>105</v>
      </c>
      <c r="E11" s="6" t="s">
        <v>179</v>
      </c>
      <c r="F11" s="6" t="s">
        <v>207</v>
      </c>
      <c r="I11" s="121"/>
      <c r="J11" s="7"/>
    </row>
    <row r="12" spans="1:120" s="1" customFormat="1" ht="12" customHeight="1" x14ac:dyDescent="0.3">
      <c r="B12" s="6"/>
      <c r="C12" s="7"/>
      <c r="D12" s="6" t="s">
        <v>176</v>
      </c>
      <c r="E12" s="6" t="s">
        <v>177</v>
      </c>
      <c r="F12" s="6" t="s">
        <v>219</v>
      </c>
      <c r="G12" s="6"/>
      <c r="H12" s="121"/>
      <c r="I12" s="121"/>
      <c r="J12" s="7"/>
    </row>
    <row r="13" spans="1:120" s="1" customFormat="1" ht="12" customHeight="1" x14ac:dyDescent="0.3">
      <c r="B13" s="6"/>
      <c r="C13" s="7"/>
      <c r="D13" s="6" t="s">
        <v>3</v>
      </c>
      <c r="E13" s="6" t="s">
        <v>180</v>
      </c>
      <c r="F13" s="6" t="s">
        <v>178</v>
      </c>
      <c r="G13" s="6"/>
      <c r="H13" s="121"/>
      <c r="I13" s="121"/>
      <c r="J13" s="7"/>
    </row>
    <row r="14" spans="1:120" s="1" customFormat="1" ht="12" customHeight="1" x14ac:dyDescent="0.3">
      <c r="B14" s="6"/>
      <c r="C14" s="7"/>
      <c r="D14" s="6" t="s">
        <v>215</v>
      </c>
      <c r="E14" s="6" t="s">
        <v>217</v>
      </c>
      <c r="F14" s="6" t="s">
        <v>181</v>
      </c>
      <c r="G14" s="6"/>
      <c r="H14" s="121"/>
      <c r="I14" s="121"/>
      <c r="J14" s="7"/>
      <c r="K14" s="7"/>
      <c r="M14" s="7"/>
    </row>
    <row r="15" spans="1:120" s="1" customFormat="1" ht="12" customHeight="1" x14ac:dyDescent="0.3">
      <c r="B15" s="6"/>
      <c r="C15" s="7"/>
      <c r="D15" s="121" t="s">
        <v>216</v>
      </c>
      <c r="E15" s="121" t="s">
        <v>218</v>
      </c>
      <c r="F15" s="6" t="s">
        <v>182</v>
      </c>
      <c r="G15" s="6"/>
      <c r="H15" s="121"/>
      <c r="I15" s="121"/>
      <c r="J15" s="7"/>
      <c r="K15" s="7"/>
      <c r="M15" s="7"/>
    </row>
    <row r="16" spans="1:120" ht="12" customHeight="1" x14ac:dyDescent="0.3">
      <c r="B16" s="4"/>
      <c r="J16" s="5"/>
      <c r="K16" s="2"/>
      <c r="M16" s="2"/>
    </row>
    <row r="17" spans="3:16" ht="12" customHeight="1" x14ac:dyDescent="0.2">
      <c r="J17" s="5"/>
      <c r="K17" s="2"/>
      <c r="M17" s="2"/>
      <c r="P17" s="2"/>
    </row>
    <row r="18" spans="3:16" x14ac:dyDescent="0.2">
      <c r="J18" s="5"/>
      <c r="K18" s="2"/>
      <c r="M18" s="2"/>
    </row>
    <row r="19" spans="3:16" x14ac:dyDescent="0.2">
      <c r="J19" s="5"/>
      <c r="K19" s="2"/>
      <c r="M19" s="2"/>
    </row>
    <row r="20" spans="3:16" s="1" customFormat="1" x14ac:dyDescent="0.2">
      <c r="D20" s="2"/>
      <c r="F20" s="2"/>
      <c r="K20" s="2"/>
      <c r="M20" s="2"/>
    </row>
    <row r="21" spans="3:16" x14ac:dyDescent="0.2">
      <c r="C21" s="5"/>
      <c r="J21" s="2"/>
    </row>
    <row r="22" spans="3:16" s="1" customFormat="1" x14ac:dyDescent="0.2">
      <c r="D22" s="2"/>
      <c r="F22" s="2"/>
    </row>
    <row r="23" spans="3:16" x14ac:dyDescent="0.2">
      <c r="C23" s="5"/>
      <c r="J23" s="2"/>
    </row>
    <row r="24" spans="3:16" s="118" customFormat="1" x14ac:dyDescent="0.3">
      <c r="D24" s="119"/>
      <c r="F24" s="119"/>
      <c r="J24" s="119"/>
    </row>
    <row r="25" spans="3:16" s="1" customFormat="1" ht="15.6" customHeight="1" x14ac:dyDescent="0.25">
      <c r="D25" s="308" t="s">
        <v>220</v>
      </c>
      <c r="F25" s="2"/>
      <c r="J25" s="7"/>
    </row>
    <row r="26" spans="3:16" s="1" customFormat="1" x14ac:dyDescent="0.2">
      <c r="D26" s="2"/>
      <c r="F26" s="2"/>
      <c r="I26" s="7"/>
      <c r="J26" s="7"/>
    </row>
    <row r="27" spans="3:16" x14ac:dyDescent="0.2">
      <c r="C27" s="5"/>
      <c r="G27" s="2"/>
    </row>
    <row r="28" spans="3:16" x14ac:dyDescent="0.2">
      <c r="C28" s="5"/>
      <c r="G28" s="2"/>
    </row>
  </sheetData>
  <sheetProtection algorithmName="SHA-512" hashValue="UncdLpOKU9IukMgxXbbxGHBikNNfiUgu1j43rK+NDbFloEdmud/6BSvfb6zgIXSMlfAymFY64/bGEj8uBacLPA==" saltValue="zFBSDjUwNiIIZS3uYTqRqg==" spinCount="100000" sheet="1" objects="1" scenarios="1" selectLockedCells="1" selectUnlockedCells="1"/>
  <printOptions horizontalCentered="1"/>
  <pageMargins left="0.75" right="0.5" top="0.75" bottom="1" header="0.3" footer="0.3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B8DC-CD73-4E42-B0B4-E5896AE2AE1B}">
  <sheetPr>
    <tabColor rgb="FFFFFFEB"/>
    <pageSetUpPr fitToPage="1"/>
  </sheetPr>
  <dimension ref="A1:DZ45"/>
  <sheetViews>
    <sheetView showGridLines="0" showRowColHeaders="0" showZeros="0" zoomScaleNormal="100" zoomScaleSheetLayoutView="235" workbookViewId="0"/>
  </sheetViews>
  <sheetFormatPr defaultColWidth="8.5" defaultRowHeight="10.199999999999999" x14ac:dyDescent="0.2"/>
  <cols>
    <col min="1" max="1" width="2.69921875" style="18" customWidth="1"/>
    <col min="2" max="2" width="2.796875" style="16" customWidth="1"/>
    <col min="3" max="3" width="8.5" style="16" customWidth="1"/>
    <col min="4" max="4" width="7.5" style="16" customWidth="1"/>
    <col min="5" max="5" width="9" style="29" customWidth="1"/>
    <col min="6" max="9" width="7.69921875" style="13" customWidth="1"/>
    <col min="10" max="10" width="7.5" style="16" customWidth="1"/>
    <col min="11" max="11" width="8.3984375" style="102" customWidth="1"/>
    <col min="12" max="12" width="0.59765625" style="19" customWidth="1"/>
    <col min="13" max="13" width="10" style="19" customWidth="1"/>
    <col min="14" max="16" width="6" style="102" customWidth="1"/>
    <col min="17" max="17" width="0.59765625" style="19" customWidth="1"/>
    <col min="18" max="19" width="6.19921875" style="102" customWidth="1"/>
    <col min="20" max="20" width="6.19921875" style="29" customWidth="1"/>
    <col min="21" max="21" width="0.59765625" style="19" customWidth="1"/>
    <col min="22" max="23" width="6" style="29" customWidth="1"/>
    <col min="24" max="24" width="6" style="102" customWidth="1"/>
    <col min="25" max="25" width="7.5" style="13" customWidth="1"/>
    <col min="26" max="26" width="12.5" style="13" bestFit="1" customWidth="1"/>
    <col min="27" max="27" width="0.59765625" style="13" customWidth="1"/>
    <col min="28" max="28" width="7" style="13" customWidth="1"/>
    <col min="29" max="29" width="0.59765625" style="13" customWidth="1"/>
    <col min="30" max="30" width="4.5" style="13" bestFit="1" customWidth="1"/>
    <col min="31" max="31" width="2.19921875" style="13" customWidth="1"/>
    <col min="32" max="61" width="6.5" style="13" customWidth="1"/>
    <col min="62" max="62" width="2.09765625" style="14" hidden="1" customWidth="1"/>
    <col min="63" max="63" width="2.09765625" style="23" hidden="1" customWidth="1"/>
    <col min="64" max="64" width="2.3984375" style="23" hidden="1" customWidth="1"/>
    <col min="65" max="65" width="3" style="23" hidden="1" customWidth="1"/>
    <col min="66" max="66" width="2.796875" style="23" hidden="1" customWidth="1"/>
    <col min="67" max="67" width="3.09765625" style="23" hidden="1" customWidth="1"/>
    <col min="68" max="68" width="2.5" style="23" hidden="1" customWidth="1"/>
    <col min="69" max="69" width="2.3984375" style="23" hidden="1" customWidth="1"/>
    <col min="70" max="70" width="4.09765625" style="14" hidden="1" customWidth="1"/>
    <col min="71" max="71" width="2.3984375" style="14" hidden="1" customWidth="1"/>
    <col min="72" max="72" width="2.296875" style="14" hidden="1" customWidth="1"/>
    <col min="73" max="73" width="2.09765625" style="14" hidden="1" customWidth="1"/>
    <col min="74" max="74" width="3.296875" style="14" hidden="1" customWidth="1"/>
    <col min="75" max="75" width="3.09765625" style="14" hidden="1" customWidth="1"/>
    <col min="76" max="76" width="3" style="14" hidden="1" customWidth="1"/>
    <col min="77" max="77" width="2.796875" style="14" hidden="1" customWidth="1"/>
    <col min="78" max="78" width="3.09765625" style="23" hidden="1" customWidth="1"/>
    <col min="79" max="79" width="2.5" style="23" hidden="1" customWidth="1"/>
    <col min="80" max="80" width="2.3984375" style="23" hidden="1" customWidth="1"/>
    <col min="81" max="81" width="4.09765625" style="23" hidden="1" customWidth="1"/>
    <col min="82" max="82" width="2.3984375" style="23" hidden="1" customWidth="1"/>
    <col min="83" max="83" width="1.8984375" style="246" hidden="1" customWidth="1"/>
    <col min="84" max="84" width="1.3984375" style="23" hidden="1" customWidth="1"/>
    <col min="85" max="85" width="2.5" style="23" hidden="1" customWidth="1"/>
    <col min="86" max="86" width="3.296875" style="23" hidden="1" customWidth="1"/>
    <col min="87" max="87" width="1.3984375" style="23" hidden="1" customWidth="1"/>
    <col min="88" max="88" width="3.19921875" style="23" hidden="1" customWidth="1"/>
    <col min="89" max="89" width="3.09765625" style="14" hidden="1" customWidth="1"/>
    <col min="90" max="90" width="1.3984375" style="14" hidden="1" customWidth="1"/>
    <col min="91" max="91" width="3.19921875" style="14" hidden="1" customWidth="1"/>
    <col min="92" max="92" width="3.5" style="14" hidden="1" customWidth="1"/>
    <col min="93" max="93" width="2" style="14" hidden="1" customWidth="1"/>
    <col min="94" max="94" width="1.59765625" style="14" hidden="1" customWidth="1"/>
    <col min="95" max="95" width="5.8984375" style="14" hidden="1" customWidth="1"/>
    <col min="96" max="96" width="4.59765625" style="14" hidden="1" customWidth="1"/>
    <col min="97" max="97" width="4.8984375" style="14" hidden="1" customWidth="1"/>
    <col min="98" max="98" width="2.69921875" style="14" hidden="1" customWidth="1"/>
    <col min="99" max="99" width="9.296875" style="14" hidden="1" customWidth="1"/>
    <col min="100" max="100" width="3" style="14" hidden="1" customWidth="1"/>
    <col min="101" max="101" width="3.796875" style="14" hidden="1" customWidth="1"/>
    <col min="102" max="102" width="3.69921875" style="14" hidden="1" customWidth="1"/>
    <col min="103" max="103" width="3.3984375" style="14" hidden="1" customWidth="1"/>
    <col min="104" max="116" width="9.765625E-2" style="14" customWidth="1"/>
    <col min="117" max="130" width="9.765625E-2" style="13" customWidth="1"/>
    <col min="131" max="16384" width="8.5" style="13"/>
  </cols>
  <sheetData>
    <row r="1" spans="1:130" ht="0.6" customHeight="1" x14ac:dyDescent="0.2">
      <c r="A1" s="527"/>
    </row>
    <row r="2" spans="1:130" s="5" customFormat="1" x14ac:dyDescent="0.2">
      <c r="A2" s="21" t="s">
        <v>2</v>
      </c>
      <c r="B2" s="1"/>
      <c r="C2" s="1"/>
      <c r="D2" s="1"/>
      <c r="E2" s="1"/>
      <c r="F2" s="1"/>
      <c r="G2" s="1"/>
      <c r="H2" s="1"/>
      <c r="I2" s="3"/>
      <c r="W2" s="3"/>
      <c r="X2" s="3"/>
      <c r="Y2" s="3"/>
      <c r="Z2" s="3"/>
      <c r="AA2" s="3"/>
      <c r="AB2" s="3"/>
    </row>
    <row r="3" spans="1:130" ht="10.8" customHeight="1" x14ac:dyDescent="0.2">
      <c r="A3" s="11"/>
      <c r="C3" s="13"/>
      <c r="K3" s="19"/>
      <c r="L3" s="13"/>
      <c r="DD3" s="12"/>
    </row>
    <row r="4" spans="1:130" ht="9" customHeight="1" x14ac:dyDescent="0.2">
      <c r="B4" s="1"/>
      <c r="C4" s="310" t="s">
        <v>45</v>
      </c>
      <c r="K4" s="19"/>
      <c r="L4" s="13"/>
      <c r="DD4" s="12"/>
    </row>
    <row r="5" spans="1:130" s="12" customFormat="1" ht="21" customHeight="1" x14ac:dyDescent="0.2">
      <c r="A5" s="18"/>
      <c r="B5" s="1"/>
      <c r="C5" s="310"/>
      <c r="D5" s="205"/>
      <c r="E5" s="14"/>
      <c r="J5" s="11"/>
      <c r="K5" s="11"/>
      <c r="M5" s="11"/>
      <c r="N5" s="11"/>
      <c r="O5" s="11"/>
      <c r="P5" s="11"/>
      <c r="Q5" s="11"/>
      <c r="R5" s="11"/>
      <c r="S5" s="11"/>
      <c r="T5" s="11"/>
      <c r="W5" s="16"/>
      <c r="X5" s="16"/>
      <c r="CW5" s="245"/>
    </row>
    <row r="6" spans="1:130" s="19" customFormat="1" x14ac:dyDescent="0.2">
      <c r="A6" s="18"/>
      <c r="B6" s="1"/>
      <c r="G6" s="46"/>
      <c r="BI6" s="124"/>
      <c r="BJ6" s="125"/>
      <c r="BK6" s="125"/>
      <c r="BL6" s="126" t="s">
        <v>47</v>
      </c>
      <c r="BM6" s="126" t="s">
        <v>28</v>
      </c>
      <c r="BN6" s="126" t="s">
        <v>49</v>
      </c>
      <c r="BO6" s="126" t="s">
        <v>50</v>
      </c>
      <c r="BP6" s="127" t="s">
        <v>51</v>
      </c>
      <c r="BQ6" s="127" t="s">
        <v>52</v>
      </c>
      <c r="BR6" s="127" t="s">
        <v>142</v>
      </c>
      <c r="BS6" s="127" t="s">
        <v>46</v>
      </c>
      <c r="BT6" s="125"/>
      <c r="BU6" s="125"/>
      <c r="BV6" s="125" t="s">
        <v>143</v>
      </c>
      <c r="BW6" s="126" t="s">
        <v>47</v>
      </c>
      <c r="BX6" s="126" t="s">
        <v>28</v>
      </c>
      <c r="BY6" s="126" t="s">
        <v>49</v>
      </c>
      <c r="BZ6" s="126" t="s">
        <v>50</v>
      </c>
      <c r="CA6" s="127" t="s">
        <v>51</v>
      </c>
      <c r="CB6" s="127" t="s">
        <v>52</v>
      </c>
      <c r="CC6" s="127" t="s">
        <v>142</v>
      </c>
      <c r="CD6" s="126" t="s">
        <v>46</v>
      </c>
      <c r="CE6" s="125"/>
      <c r="CF6" s="419" t="s">
        <v>127</v>
      </c>
      <c r="CG6" s="419"/>
      <c r="CH6" s="419"/>
      <c r="CI6" s="419"/>
      <c r="CJ6" s="419"/>
      <c r="CK6" s="419"/>
      <c r="CL6" s="248"/>
      <c r="CM6" s="248"/>
      <c r="CN6" s="248"/>
      <c r="CO6" s="248"/>
      <c r="CP6" s="419" t="s">
        <v>106</v>
      </c>
      <c r="CQ6" s="419"/>
      <c r="CR6" s="419"/>
      <c r="CS6" s="419"/>
      <c r="CT6" s="249"/>
      <c r="CU6" s="421" t="s">
        <v>107</v>
      </c>
      <c r="CV6" s="421"/>
      <c r="CW6" s="421"/>
      <c r="CX6" s="421"/>
      <c r="CY6" s="421"/>
      <c r="CZ6" s="128"/>
      <c r="DA6" s="419" t="s">
        <v>123</v>
      </c>
      <c r="DB6" s="419"/>
      <c r="DC6" s="419"/>
      <c r="DD6" s="248"/>
      <c r="DE6" s="419" t="s">
        <v>158</v>
      </c>
      <c r="DF6" s="419"/>
      <c r="DG6" s="125"/>
      <c r="DH6" s="125"/>
      <c r="DI6" s="125"/>
      <c r="DJ6" s="125"/>
      <c r="DK6" s="125"/>
      <c r="DL6" s="125"/>
      <c r="DM6" s="419" t="s">
        <v>157</v>
      </c>
      <c r="DN6" s="419"/>
      <c r="DO6" s="125"/>
      <c r="DP6" s="125"/>
      <c r="DQ6" s="125"/>
      <c r="DR6" s="125"/>
      <c r="DS6" s="129"/>
      <c r="DT6" s="419" t="s">
        <v>156</v>
      </c>
      <c r="DU6" s="419"/>
      <c r="DV6" s="125"/>
      <c r="DW6" s="125"/>
      <c r="DX6" s="125"/>
      <c r="DY6" s="125"/>
      <c r="DZ6" s="128" t="s">
        <v>88</v>
      </c>
    </row>
    <row r="7" spans="1:130" ht="6" customHeight="1" x14ac:dyDescent="0.35">
      <c r="A7" s="40"/>
      <c r="B7" s="1"/>
      <c r="C7" s="312" t="s">
        <v>79</v>
      </c>
      <c r="E7" s="311" t="s">
        <v>201</v>
      </c>
      <c r="F7" s="313" t="s">
        <v>39</v>
      </c>
      <c r="G7" s="313" t="s">
        <v>39</v>
      </c>
      <c r="H7" s="313" t="s">
        <v>39</v>
      </c>
      <c r="I7" s="315" t="s">
        <v>32</v>
      </c>
      <c r="J7" s="45"/>
      <c r="K7" s="312" t="s">
        <v>200</v>
      </c>
      <c r="L7" s="312"/>
      <c r="M7" s="312"/>
      <c r="N7" s="67"/>
      <c r="O7" s="68"/>
      <c r="P7" s="69"/>
      <c r="Q7" s="72"/>
      <c r="R7" s="319" t="s">
        <v>92</v>
      </c>
      <c r="S7" s="320"/>
      <c r="T7" s="321"/>
      <c r="U7" s="44"/>
      <c r="V7" s="328" t="s">
        <v>32</v>
      </c>
      <c r="W7" s="329"/>
      <c r="X7" s="330"/>
      <c r="Z7" s="312" t="s">
        <v>185</v>
      </c>
      <c r="AA7" s="239"/>
      <c r="AB7" s="239"/>
      <c r="AC7" s="228"/>
      <c r="BI7" s="124"/>
      <c r="BJ7" s="130" t="s">
        <v>150</v>
      </c>
      <c r="BK7" s="131" t="s">
        <v>144</v>
      </c>
      <c r="BL7" s="132">
        <f>(F$14*$F$16)*R27*(R31/12)</f>
        <v>1.35</v>
      </c>
      <c r="BM7" s="132">
        <f>(F$14*$F$16)*R29</f>
        <v>2.16</v>
      </c>
      <c r="BN7" s="132">
        <f>(F$14*$F$16)*R18</f>
        <v>0.54</v>
      </c>
      <c r="BO7" s="132">
        <f>(F$14*$F$16)*R20</f>
        <v>0.64800000000000002</v>
      </c>
      <c r="BP7" s="132">
        <f>(F$14*$F$16)*N14*(R31/12)</f>
        <v>0.41309999999999997</v>
      </c>
      <c r="BQ7" s="132">
        <f>(F$14*$F$16)*R22</f>
        <v>0.27</v>
      </c>
      <c r="BR7" s="132">
        <f>(F$14*$F$16)*R24</f>
        <v>0.54</v>
      </c>
      <c r="BS7" s="132">
        <f>(F$14*$F$16)*N16</f>
        <v>1.6199999999999999</v>
      </c>
      <c r="BT7" s="130" t="s">
        <v>150</v>
      </c>
      <c r="BU7" s="131" t="s">
        <v>144</v>
      </c>
      <c r="BV7" s="132">
        <f>((N34-N36*N38)+(R40-R42)/R44)</f>
        <v>5.4349999999999996E-2</v>
      </c>
      <c r="BW7" s="132">
        <f>($H14*H16)*BV7</f>
        <v>4.2121249999999995</v>
      </c>
      <c r="BX7" s="132"/>
      <c r="BY7" s="132">
        <f>($H14*H16)*R18</f>
        <v>0.77500000000000002</v>
      </c>
      <c r="BZ7" s="132">
        <f>($H14*H16)*R20</f>
        <v>0.93</v>
      </c>
      <c r="CA7" s="132">
        <f>(H$14*$H$16)*N14*(R31/12)</f>
        <v>0.59287499999999993</v>
      </c>
      <c r="CB7" s="132">
        <f>($H14*H16)*R22</f>
        <v>0.38750000000000001</v>
      </c>
      <c r="CC7" s="132">
        <f>($H14*H16)*R24</f>
        <v>0.77500000000000002</v>
      </c>
      <c r="CD7" s="133">
        <f>($H14*H16)*N16</f>
        <v>2.3249999999999997</v>
      </c>
      <c r="CE7" s="125"/>
      <c r="CF7" s="250"/>
      <c r="CG7" s="251">
        <f ca="1">CW18</f>
        <v>1.8041994909090988</v>
      </c>
      <c r="CH7" s="251" t="s">
        <v>47</v>
      </c>
      <c r="CI7" s="250"/>
      <c r="CJ7" s="251">
        <f ca="1">CW18</f>
        <v>1.8041994909090988</v>
      </c>
      <c r="CK7" s="252" t="s">
        <v>51</v>
      </c>
      <c r="CL7" s="251"/>
      <c r="CM7" s="251">
        <f ca="1">CW18</f>
        <v>1.8041994909090988</v>
      </c>
      <c r="CN7" s="252" t="s">
        <v>46</v>
      </c>
      <c r="CO7" s="247"/>
      <c r="CP7" s="134">
        <v>1</v>
      </c>
      <c r="CQ7" s="135" t="s">
        <v>91</v>
      </c>
      <c r="CR7" s="136" t="s">
        <v>90</v>
      </c>
      <c r="CS7" s="136" t="s">
        <v>89</v>
      </c>
      <c r="CT7" s="125"/>
      <c r="CU7" s="137" t="s">
        <v>85</v>
      </c>
      <c r="CV7" s="253" t="s">
        <v>87</v>
      </c>
      <c r="CW7" s="253" t="s">
        <v>44</v>
      </c>
      <c r="CX7" s="254" t="s">
        <v>42</v>
      </c>
      <c r="CY7" s="255" t="s">
        <v>43</v>
      </c>
      <c r="CZ7" s="125"/>
      <c r="DA7" s="138" t="s">
        <v>85</v>
      </c>
      <c r="DB7" s="256" t="s">
        <v>60</v>
      </c>
      <c r="DC7" s="256" t="s">
        <v>61</v>
      </c>
      <c r="DD7" s="257"/>
      <c r="DE7" s="139" t="s">
        <v>98</v>
      </c>
      <c r="DF7" s="139" t="s">
        <v>99</v>
      </c>
      <c r="DG7" s="139" t="s">
        <v>100</v>
      </c>
      <c r="DH7" s="139" t="s">
        <v>101</v>
      </c>
      <c r="DI7" s="139" t="s">
        <v>102</v>
      </c>
      <c r="DJ7" s="139" t="s">
        <v>103</v>
      </c>
      <c r="DK7" s="140"/>
      <c r="DL7" s="248" t="s">
        <v>88</v>
      </c>
      <c r="DM7" s="139" t="s">
        <v>98</v>
      </c>
      <c r="DN7" s="139" t="s">
        <v>99</v>
      </c>
      <c r="DO7" s="139" t="s">
        <v>100</v>
      </c>
      <c r="DP7" s="139" t="s">
        <v>101</v>
      </c>
      <c r="DQ7" s="139" t="s">
        <v>102</v>
      </c>
      <c r="DR7" s="139" t="s">
        <v>103</v>
      </c>
      <c r="DS7" s="248" t="s">
        <v>88</v>
      </c>
      <c r="DT7" s="139" t="s">
        <v>98</v>
      </c>
      <c r="DU7" s="139" t="s">
        <v>99</v>
      </c>
      <c r="DV7" s="139" t="s">
        <v>100</v>
      </c>
      <c r="DW7" s="139" t="s">
        <v>101</v>
      </c>
      <c r="DX7" s="139" t="s">
        <v>102</v>
      </c>
      <c r="DY7" s="139" t="s">
        <v>103</v>
      </c>
      <c r="DZ7" s="128" t="s">
        <v>88</v>
      </c>
    </row>
    <row r="8" spans="1:130" ht="6.6" customHeight="1" x14ac:dyDescent="0.3">
      <c r="B8" s="1"/>
      <c r="C8" s="312"/>
      <c r="E8" s="311"/>
      <c r="F8" s="314"/>
      <c r="G8" s="314"/>
      <c r="H8" s="314"/>
      <c r="I8" s="316"/>
      <c r="J8" s="45"/>
      <c r="K8" s="312"/>
      <c r="L8" s="312"/>
      <c r="M8" s="312"/>
      <c r="N8" s="240"/>
      <c r="O8" s="240"/>
      <c r="P8" s="241"/>
      <c r="Q8" s="72"/>
      <c r="R8" s="322"/>
      <c r="S8" s="323"/>
      <c r="T8" s="324"/>
      <c r="U8" s="44"/>
      <c r="V8" s="331"/>
      <c r="W8" s="332"/>
      <c r="X8" s="333"/>
      <c r="Z8" s="312"/>
      <c r="AA8" s="31"/>
      <c r="AB8" s="422" t="s">
        <v>188</v>
      </c>
      <c r="AC8" s="31"/>
      <c r="AD8" s="422" t="s">
        <v>187</v>
      </c>
      <c r="BI8" s="141"/>
      <c r="BJ8" s="142" t="s">
        <v>151</v>
      </c>
      <c r="BK8" s="143" t="s">
        <v>148</v>
      </c>
      <c r="BL8" s="144">
        <f>(F$14*$F$18)*S27*(S31/12)</f>
        <v>1.2956160000000001</v>
      </c>
      <c r="BM8" s="144">
        <f>(F$14*$F$18)*S29</f>
        <v>1.8508800000000003</v>
      </c>
      <c r="BN8" s="144">
        <f>(F$14*$F$18)*S18</f>
        <v>0.46272000000000008</v>
      </c>
      <c r="BO8" s="144">
        <f>(F$14*$F$18)*S20</f>
        <v>0.69408000000000003</v>
      </c>
      <c r="BP8" s="144">
        <f>(F$14*$F$18)*O14*(S31/12)</f>
        <v>0.40488000000000007</v>
      </c>
      <c r="BQ8" s="144">
        <f>(F$14*$F$18)*S22</f>
        <v>0.23136000000000004</v>
      </c>
      <c r="BR8" s="144">
        <f>(F$14*$F$18)*S24</f>
        <v>0.46272000000000008</v>
      </c>
      <c r="BS8" s="144">
        <f>(F$14*$F$18)*O16</f>
        <v>1.3881600000000001</v>
      </c>
      <c r="BT8" s="145" t="s">
        <v>154</v>
      </c>
      <c r="BU8" s="143" t="s">
        <v>148</v>
      </c>
      <c r="BV8" s="144">
        <f>((O34-O36*O38)+(S40-S42)/S44)</f>
        <v>5.935E-2</v>
      </c>
      <c r="BW8" s="144">
        <f>($H14*H18)*BV8</f>
        <v>5.7866249999999999</v>
      </c>
      <c r="BX8" s="144"/>
      <c r="BY8" s="144">
        <f>($H14*H18)*S18</f>
        <v>0.97499999999999998</v>
      </c>
      <c r="BZ8" s="144">
        <f>($H14*H18)*S20</f>
        <v>1.4624999999999999</v>
      </c>
      <c r="CA8" s="144">
        <f>(H$14*$H$16)*O14*(S31/12)</f>
        <v>0.67812500000000009</v>
      </c>
      <c r="CB8" s="144">
        <f>($H14*H18)*S22</f>
        <v>0.48749999999999999</v>
      </c>
      <c r="CC8" s="144">
        <f>($H14*H18)*S24</f>
        <v>0.97499999999999998</v>
      </c>
      <c r="CD8" s="146">
        <f>($H14*H18)*O16</f>
        <v>2.9249999999999998</v>
      </c>
      <c r="CE8" s="125"/>
      <c r="CF8" s="258">
        <v>1</v>
      </c>
      <c r="CG8" s="259">
        <f t="dataTable" ref="CG8:CG9" dt2D="0" dtr="0" r1="CF7" ca="1"/>
        <v>24.279545490909086</v>
      </c>
      <c r="CH8" s="260">
        <f ca="1">CG8/CG7</f>
        <v>13.457239963345254</v>
      </c>
      <c r="CI8" s="258">
        <v>1</v>
      </c>
      <c r="CJ8" s="259">
        <f t="dataTable" ref="CJ8:CJ9" dt2D="0" dtr="0" r1="CI7" ca="1"/>
        <v>5.9121998909090934</v>
      </c>
      <c r="CK8" s="261">
        <f ca="1">CJ8/CJ7</f>
        <v>3.2769102977243709</v>
      </c>
      <c r="CL8" s="259">
        <v>1</v>
      </c>
      <c r="CM8" s="259">
        <f t="dataTable" ref="CM8:CM9" dt2D="0" dtr="0" r1="CL7" ca="1"/>
        <v>-24.2367605090909</v>
      </c>
      <c r="CN8" s="261">
        <f ca="1">CM8/CM7</f>
        <v>-13.43352585521377</v>
      </c>
      <c r="CO8" s="247"/>
      <c r="CP8" s="262" t="str">
        <f>IF(CP7=1,"⊳","")</f>
        <v>⊳</v>
      </c>
      <c r="CQ8" s="147" t="s">
        <v>39</v>
      </c>
      <c r="CR8" s="263">
        <v>1</v>
      </c>
      <c r="CS8" s="264" t="s">
        <v>66</v>
      </c>
      <c r="CT8" s="125"/>
      <c r="CU8" s="265" t="s">
        <v>72</v>
      </c>
      <c r="CV8" s="178">
        <v>10</v>
      </c>
      <c r="CW8" s="266" cm="1">
        <f t="array" aca="1" ref="CW8" ca="1">(1+CF7)*INDIRECT("income!"&amp;VLOOKUP($CP$7,$CR$8:$CS$13,2,FALSE)&amp;CV8)</f>
        <v>22.475345999999998</v>
      </c>
      <c r="CX8" s="267">
        <f ca="1">SLOPE(CH8:CH9,CF8:CF9)+0.000001</f>
        <v>12.45724096334526</v>
      </c>
      <c r="CY8" s="268">
        <f t="shared" ref="CY8:CY17" ca="1" si="0">RANK(CX8,$CX$8:$CX$17)</f>
        <v>1</v>
      </c>
      <c r="CZ8" s="125"/>
      <c r="DA8" s="247" t="str">
        <f t="shared" ref="DA8:DA17" ca="1" si="1">INDEX($CU$8:$CU$17,MATCH(DB8,$CY$8:$CY$17,0))</f>
        <v xml:space="preserve">Interest </v>
      </c>
      <c r="DB8" s="269">
        <v>1</v>
      </c>
      <c r="DC8" s="270">
        <f t="shared" ref="DC8:DC17" ca="1" si="2">INDEX($CX$8:$CX$17,MATCH(DB8,$CY$8:$CY$17,0))</f>
        <v>12.45724096334526</v>
      </c>
      <c r="DD8" s="126"/>
      <c r="DE8" s="148" t="s">
        <v>50</v>
      </c>
      <c r="DF8" s="148" t="s">
        <v>137</v>
      </c>
      <c r="DG8" s="129"/>
      <c r="DH8" s="149">
        <f>SUM(Income!E8:E9)/DH13</f>
        <v>0.625</v>
      </c>
      <c r="DI8" s="149">
        <f>SUM(Income!F8:F9)/DH13</f>
        <v>0.375</v>
      </c>
      <c r="DJ8" s="149"/>
      <c r="DK8" s="125"/>
      <c r="DL8" s="271" t="s">
        <v>88</v>
      </c>
      <c r="DM8" s="148" t="s">
        <v>159</v>
      </c>
      <c r="DN8" s="148" t="s">
        <v>160</v>
      </c>
      <c r="DO8" s="129"/>
      <c r="DP8" s="150">
        <f>(Income!E24)</f>
        <v>1.8041994909090917</v>
      </c>
      <c r="DQ8" s="150">
        <f>(Income!F24)</f>
        <v>5.0620909090909088</v>
      </c>
      <c r="DR8" s="150"/>
      <c r="DS8" s="271" t="s">
        <v>88</v>
      </c>
      <c r="DT8" s="148" t="s">
        <v>50</v>
      </c>
      <c r="DU8" s="148" t="s">
        <v>137</v>
      </c>
      <c r="DV8" s="129"/>
      <c r="DW8" s="149">
        <f>(Income!E10)/DW13</f>
        <v>0.564319450259126</v>
      </c>
      <c r="DX8" s="149">
        <f>(Income!F10)/DW13</f>
        <v>0.43568054974087406</v>
      </c>
      <c r="DY8" s="149"/>
      <c r="DZ8" s="128" t="s">
        <v>88</v>
      </c>
    </row>
    <row r="9" spans="1:130" ht="6" customHeight="1" x14ac:dyDescent="0.3">
      <c r="B9" s="1"/>
      <c r="C9" s="179"/>
      <c r="D9" s="180"/>
      <c r="E9" s="221"/>
      <c r="F9" s="317" t="s">
        <v>77</v>
      </c>
      <c r="G9" s="317" t="s">
        <v>77</v>
      </c>
      <c r="H9" s="318" t="s">
        <v>76</v>
      </c>
      <c r="I9" s="318" t="s">
        <v>76</v>
      </c>
      <c r="J9" s="45"/>
      <c r="K9" s="221"/>
      <c r="L9" s="222"/>
      <c r="N9" s="70"/>
      <c r="O9" s="70"/>
      <c r="P9" s="71"/>
      <c r="Q9" s="73"/>
      <c r="R9" s="322"/>
      <c r="S9" s="323"/>
      <c r="T9" s="324"/>
      <c r="U9" s="12"/>
      <c r="V9" s="331"/>
      <c r="W9" s="332"/>
      <c r="X9" s="333"/>
      <c r="AA9" s="31"/>
      <c r="AB9" s="423"/>
      <c r="AC9" s="31"/>
      <c r="AD9" s="423"/>
      <c r="BI9" s="141"/>
      <c r="BJ9" s="151" t="s">
        <v>152</v>
      </c>
      <c r="BK9" s="152" t="s">
        <v>145</v>
      </c>
      <c r="BL9" s="153">
        <f>(F$14*$F$20)*T27*(T31/12)</f>
        <v>1.74048</v>
      </c>
      <c r="BM9" s="153">
        <f>(F$14*$F$20)*T29</f>
        <v>1.9891199999999998</v>
      </c>
      <c r="BN9" s="153">
        <f>(F$14*$F$20)*T18</f>
        <v>0.49727999999999994</v>
      </c>
      <c r="BO9" s="153">
        <f>(F$14*$F$20)*T20</f>
        <v>0.64646399999999993</v>
      </c>
      <c r="BP9" s="153">
        <f>(F$14*$F$20)*P14*(T31/12)</f>
        <v>0.46247039999999989</v>
      </c>
      <c r="BQ9" s="153">
        <f>(F$14*$F$20)*T22</f>
        <v>0.24863999999999997</v>
      </c>
      <c r="BR9" s="153">
        <f>(F$14*$F$20)*T24</f>
        <v>0.74591999999999992</v>
      </c>
      <c r="BS9" s="153">
        <f>(F$14*$F$20)*P16</f>
        <v>4.9727999999999994</v>
      </c>
      <c r="BT9" s="154" t="s">
        <v>153</v>
      </c>
      <c r="BU9" s="152" t="s">
        <v>145</v>
      </c>
      <c r="BV9" s="153">
        <f>((P34-P36*P38)+(T40-T42)/T44)</f>
        <v>6.8699999999999997E-2</v>
      </c>
      <c r="BW9" s="153">
        <f>($H14*H20)*BV9</f>
        <v>5.1524999999999999</v>
      </c>
      <c r="BX9" s="153"/>
      <c r="BY9" s="153">
        <f>($H14*H20)*T18</f>
        <v>0.75</v>
      </c>
      <c r="BZ9" s="153">
        <f>($H14*H20)*T20</f>
        <v>0.97499999999999998</v>
      </c>
      <c r="CA9" s="153">
        <f>(H$14*$H$20)*P14*(T31/12)</f>
        <v>0.6974999999999999</v>
      </c>
      <c r="CB9" s="153">
        <f>($H14*H20)*T22</f>
        <v>0.375</v>
      </c>
      <c r="CC9" s="153">
        <f>($H14*H20)*T24</f>
        <v>1.125</v>
      </c>
      <c r="CD9" s="155">
        <f>($H14*H20)*P16</f>
        <v>7.5</v>
      </c>
      <c r="CE9" s="125"/>
      <c r="CF9" s="258">
        <v>2</v>
      </c>
      <c r="CG9" s="259">
        <v>46.754891490909088</v>
      </c>
      <c r="CH9" s="260">
        <f ca="1">CG9/CG7</f>
        <v>25.914479926690515</v>
      </c>
      <c r="CI9" s="272">
        <v>2</v>
      </c>
      <c r="CJ9" s="273">
        <v>10.020200290909095</v>
      </c>
      <c r="CK9" s="274">
        <f ca="1">CJ9/CJ7</f>
        <v>5.5538205954487454</v>
      </c>
      <c r="CL9" s="273">
        <v>2</v>
      </c>
      <c r="CM9" s="273">
        <v>-50.277720509090898</v>
      </c>
      <c r="CN9" s="274">
        <f ca="1">CM9/CM7</f>
        <v>-27.867051710427539</v>
      </c>
      <c r="CO9" s="247"/>
      <c r="CP9" s="262" t="str">
        <f>IF(CP7=2,"⊳","")</f>
        <v/>
      </c>
      <c r="CQ9" s="156" t="s">
        <v>32</v>
      </c>
      <c r="CR9" s="275">
        <v>2</v>
      </c>
      <c r="CS9" s="276" t="s">
        <v>67</v>
      </c>
      <c r="CT9" s="125"/>
      <c r="CU9" s="265" t="s">
        <v>63</v>
      </c>
      <c r="CV9" s="178">
        <v>11</v>
      </c>
      <c r="CW9" s="266" cm="1">
        <f t="array" aca="1" ref="CW9" ca="1">(1+CF10)*INDIRECT("income!"&amp;VLOOKUP($CP$7,$CR$8:$CS$13,2,FALSE)&amp;CV9)</f>
        <v>10</v>
      </c>
      <c r="CX9" s="267">
        <f ca="1">SLOPE(CH11:CH12,CF11:CF12)+0.000002</f>
        <v>5.5426263330559902</v>
      </c>
      <c r="CY9" s="268">
        <f t="shared" ca="1" si="0"/>
        <v>2</v>
      </c>
      <c r="CZ9" s="128"/>
      <c r="DA9" s="247" t="str">
        <f t="shared" ca="1" si="1"/>
        <v xml:space="preserve">Gain on sale </v>
      </c>
      <c r="DB9" s="269">
        <v>2</v>
      </c>
      <c r="DC9" s="270">
        <f t="shared" ca="1" si="2"/>
        <v>5.5426263330559902</v>
      </c>
      <c r="DD9" s="126"/>
      <c r="DE9" s="148" t="s">
        <v>77</v>
      </c>
      <c r="DF9" s="148" t="s">
        <v>94</v>
      </c>
      <c r="DG9" s="129"/>
      <c r="DH9" s="149">
        <f>SUM(Income!H8:H9)/DH13</f>
        <v>0.3125</v>
      </c>
      <c r="DI9" s="149">
        <f>SUM(Income!I8:I9)/DH13</f>
        <v>0.6875</v>
      </c>
      <c r="DJ9" s="149"/>
      <c r="DK9" s="125"/>
      <c r="DL9" s="271" t="s">
        <v>88</v>
      </c>
      <c r="DM9" s="148" t="s">
        <v>161</v>
      </c>
      <c r="DN9" s="148" t="s">
        <v>162</v>
      </c>
      <c r="DO9" s="129"/>
      <c r="DP9" s="150">
        <f>(Income!H24)</f>
        <v>-1.7414596000000024</v>
      </c>
      <c r="DQ9" s="150">
        <f>(Income!I24)</f>
        <v>8.6077499999999958</v>
      </c>
      <c r="DR9" s="150"/>
      <c r="DS9" s="271" t="s">
        <v>88</v>
      </c>
      <c r="DT9" s="148" t="s">
        <v>77</v>
      </c>
      <c r="DU9" s="148" t="s">
        <v>94</v>
      </c>
      <c r="DV9" s="129"/>
      <c r="DW9" s="149">
        <f>(Income!H10)/DW13</f>
        <v>0.18389616019104063</v>
      </c>
      <c r="DX9" s="149">
        <f>(Income!I10)/DW13</f>
        <v>0.81610383980895929</v>
      </c>
      <c r="DY9" s="149"/>
      <c r="DZ9" s="128" t="s">
        <v>88</v>
      </c>
    </row>
    <row r="10" spans="1:130" ht="6" customHeight="1" x14ac:dyDescent="0.3">
      <c r="B10" s="1"/>
      <c r="C10" s="179"/>
      <c r="D10" s="180"/>
      <c r="E10" s="221"/>
      <c r="F10" s="317"/>
      <c r="G10" s="317"/>
      <c r="H10" s="318"/>
      <c r="I10" s="318"/>
      <c r="J10" s="45"/>
      <c r="K10" s="221"/>
      <c r="L10" s="222"/>
      <c r="N10" s="70"/>
      <c r="O10" s="70"/>
      <c r="P10" s="71"/>
      <c r="Q10" s="73"/>
      <c r="R10" s="325"/>
      <c r="S10" s="326"/>
      <c r="T10" s="327"/>
      <c r="U10" s="12"/>
      <c r="V10" s="331"/>
      <c r="W10" s="332"/>
      <c r="X10" s="333"/>
      <c r="Z10" s="334" t="s">
        <v>186</v>
      </c>
      <c r="AA10" s="30"/>
      <c r="AB10" s="349">
        <f>Income!V8</f>
        <v>500</v>
      </c>
      <c r="AC10" s="30"/>
      <c r="AD10" s="351">
        <f>AB10/SUM(AB$10:AB$12)</f>
        <v>0.625</v>
      </c>
      <c r="BI10" s="124"/>
      <c r="BJ10" s="157"/>
      <c r="BK10" s="158" t="s">
        <v>146</v>
      </c>
      <c r="BL10" s="159">
        <f t="shared" ref="BL10:BS10" si="3">$F22*SUM(BL$7:BL$9)</f>
        <v>1.9298822400000002</v>
      </c>
      <c r="BM10" s="159">
        <f t="shared" si="3"/>
        <v>2.64</v>
      </c>
      <c r="BN10" s="159">
        <f t="shared" si="3"/>
        <v>0.66</v>
      </c>
      <c r="BO10" s="159">
        <f t="shared" si="3"/>
        <v>0.87495936000000007</v>
      </c>
      <c r="BP10" s="159">
        <f t="shared" si="3"/>
        <v>0.56339817599999997</v>
      </c>
      <c r="BQ10" s="159">
        <f t="shared" si="3"/>
        <v>0.33</v>
      </c>
      <c r="BR10" s="159">
        <f t="shared" si="3"/>
        <v>0.76940160000000002</v>
      </c>
      <c r="BS10" s="159">
        <f t="shared" si="3"/>
        <v>3.5116223999999998</v>
      </c>
      <c r="BT10" s="160"/>
      <c r="BU10" s="158" t="s">
        <v>146</v>
      </c>
      <c r="BV10" s="159"/>
      <c r="BW10" s="159">
        <f>$H22*SUM(BW$7:BW$9)</f>
        <v>3.9393249999999997</v>
      </c>
      <c r="BX10" s="159"/>
      <c r="BY10" s="159">
        <f t="shared" ref="BY10:CD10" si="4">$H22*SUM(BY$7:BY$9)</f>
        <v>0.65</v>
      </c>
      <c r="BZ10" s="159">
        <f t="shared" si="4"/>
        <v>0.87555000000000005</v>
      </c>
      <c r="CA10" s="159">
        <f t="shared" si="4"/>
        <v>0.51180999999999999</v>
      </c>
      <c r="CB10" s="159">
        <f t="shared" si="4"/>
        <v>0.32500000000000001</v>
      </c>
      <c r="CC10" s="159">
        <f t="shared" si="4"/>
        <v>0.74750000000000005</v>
      </c>
      <c r="CD10" s="161">
        <f t="shared" si="4"/>
        <v>3.3149999999999999</v>
      </c>
      <c r="CE10" s="125"/>
      <c r="CF10" s="250"/>
      <c r="CG10" s="251">
        <f ca="1">CW18</f>
        <v>1.8041994909090988</v>
      </c>
      <c r="CH10" s="252" t="s">
        <v>48</v>
      </c>
      <c r="CI10" s="259"/>
      <c r="CJ10" s="259">
        <f ca="1">CW18</f>
        <v>1.8041994909090988</v>
      </c>
      <c r="CK10" s="277" t="s">
        <v>52</v>
      </c>
      <c r="CL10" s="258"/>
      <c r="CM10" s="259">
        <f ca="1">CW18</f>
        <v>1.8041994909090988</v>
      </c>
      <c r="CN10" s="277" t="s">
        <v>54</v>
      </c>
      <c r="CO10" s="247"/>
      <c r="CP10" s="262" t="str">
        <f>IF(CP7=3,"⊳","")</f>
        <v/>
      </c>
      <c r="CQ10" s="162" t="s">
        <v>77</v>
      </c>
      <c r="CR10" s="278">
        <v>3</v>
      </c>
      <c r="CS10" s="279" t="s">
        <v>68</v>
      </c>
      <c r="CT10" s="125"/>
      <c r="CU10" s="265" t="s">
        <v>64</v>
      </c>
      <c r="CV10" s="178">
        <v>12</v>
      </c>
      <c r="CW10" s="266" cm="1">
        <f t="array" aca="1" ref="CW10" ca="1">(1+CF13)*INDIRECT("income!"&amp;VLOOKUP(CP7,CR8:CS13,2,FALSE)&amp;CV10)</f>
        <v>5</v>
      </c>
      <c r="CX10" s="267">
        <f ca="1">SLOPE(CH14:CH15,CF14:CF15)+0.000003</f>
        <v>2.7713151665279949</v>
      </c>
      <c r="CY10" s="268">
        <f t="shared" ca="1" si="0"/>
        <v>4</v>
      </c>
      <c r="CZ10" s="125"/>
      <c r="DA10" s="247" t="str">
        <f t="shared" ca="1" si="1"/>
        <v xml:space="preserve">Origination fee </v>
      </c>
      <c r="DB10" s="269">
        <v>3</v>
      </c>
      <c r="DC10" s="270">
        <f t="shared" ca="1" si="2"/>
        <v>3.7119239033946658</v>
      </c>
      <c r="DD10" s="126"/>
      <c r="DE10" s="148" t="s">
        <v>5</v>
      </c>
      <c r="DF10" s="148" t="s">
        <v>93</v>
      </c>
      <c r="DG10" s="129"/>
      <c r="DH10" s="149">
        <f>SUM(Income!K8:K9)/DH13</f>
        <v>0.1875</v>
      </c>
      <c r="DI10" s="149">
        <f>SUM(Income!L8:L9)/DH13</f>
        <v>0.8125</v>
      </c>
      <c r="DJ10" s="149"/>
      <c r="DK10" s="125"/>
      <c r="DL10" s="271" t="s">
        <v>88</v>
      </c>
      <c r="DM10" s="148" t="s">
        <v>163</v>
      </c>
      <c r="DN10" s="148" t="s">
        <v>164</v>
      </c>
      <c r="DO10" s="129"/>
      <c r="DP10" s="150">
        <f>(Income!K24)</f>
        <v>-2.5045096000000004</v>
      </c>
      <c r="DQ10" s="150">
        <f>(Income!L24)</f>
        <v>9.3708000000000027</v>
      </c>
      <c r="DR10" s="150"/>
      <c r="DS10" s="271" t="s">
        <v>88</v>
      </c>
      <c r="DT10" s="148" t="s">
        <v>5</v>
      </c>
      <c r="DU10" s="148" t="s">
        <v>93</v>
      </c>
      <c r="DV10" s="129"/>
      <c r="DW10" s="149">
        <f>(Income!K10)/DW13</f>
        <v>0.11012774991333844</v>
      </c>
      <c r="DX10" s="149">
        <f>(Income!L10)/DW13</f>
        <v>0.88987225008666149</v>
      </c>
      <c r="DY10" s="149"/>
      <c r="DZ10" s="128" t="s">
        <v>88</v>
      </c>
    </row>
    <row r="11" spans="1:130" ht="6.6" customHeight="1" x14ac:dyDescent="0.3">
      <c r="B11" s="1"/>
      <c r="C11" s="179"/>
      <c r="D11" s="180"/>
      <c r="E11" s="223"/>
      <c r="F11" s="359" t="s">
        <v>5</v>
      </c>
      <c r="G11" s="361" t="s">
        <v>4</v>
      </c>
      <c r="H11" s="361" t="s">
        <v>4</v>
      </c>
      <c r="I11" s="361" t="s">
        <v>4</v>
      </c>
      <c r="J11" s="45"/>
      <c r="K11" s="223"/>
      <c r="L11" s="222"/>
      <c r="N11" s="357" t="s">
        <v>16</v>
      </c>
      <c r="O11" s="355" t="s">
        <v>17</v>
      </c>
      <c r="P11" s="353" t="s">
        <v>19</v>
      </c>
      <c r="Q11" s="184"/>
      <c r="R11" s="357" t="s">
        <v>16</v>
      </c>
      <c r="S11" s="355" t="s">
        <v>17</v>
      </c>
      <c r="T11" s="353" t="s">
        <v>19</v>
      </c>
      <c r="U11" s="185"/>
      <c r="V11" s="357" t="s">
        <v>16</v>
      </c>
      <c r="W11" s="355" t="s">
        <v>17</v>
      </c>
      <c r="X11" s="353" t="s">
        <v>19</v>
      </c>
      <c r="Z11" s="334"/>
      <c r="AA11" s="30"/>
      <c r="AB11" s="350"/>
      <c r="AC11" s="30"/>
      <c r="AD11" s="35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BI11" s="124"/>
      <c r="BJ11" s="157"/>
      <c r="BK11" s="163" t="s">
        <v>147</v>
      </c>
      <c r="BL11" s="159">
        <f t="shared" ref="BL11:BS11" si="5">$F24*SUM(BL$7:BL$9)</f>
        <v>1.14038496</v>
      </c>
      <c r="BM11" s="159">
        <f t="shared" si="5"/>
        <v>1.56</v>
      </c>
      <c r="BN11" s="159">
        <f t="shared" si="5"/>
        <v>0.39</v>
      </c>
      <c r="BO11" s="159">
        <f t="shared" si="5"/>
        <v>0.51702144000000005</v>
      </c>
      <c r="BP11" s="159">
        <f t="shared" si="5"/>
        <v>0.33291710399999996</v>
      </c>
      <c r="BQ11" s="159">
        <f t="shared" si="5"/>
        <v>0.19500000000000001</v>
      </c>
      <c r="BR11" s="159">
        <f t="shared" si="5"/>
        <v>0.45464640000000001</v>
      </c>
      <c r="BS11" s="159">
        <f t="shared" si="5"/>
        <v>2.0750495999999998</v>
      </c>
      <c r="BT11" s="157"/>
      <c r="BU11" s="163" t="s">
        <v>147</v>
      </c>
      <c r="BV11" s="159"/>
      <c r="BW11" s="159">
        <f>$H24*SUM(BW$7:BW$9)</f>
        <v>6.5150374999999991</v>
      </c>
      <c r="BX11" s="159"/>
      <c r="BY11" s="159">
        <f t="shared" ref="BY11:CD11" si="6">$H24*SUM(BY$7:BY$9)</f>
        <v>1.075</v>
      </c>
      <c r="BZ11" s="159">
        <f t="shared" si="6"/>
        <v>1.4480250000000001</v>
      </c>
      <c r="CA11" s="159">
        <f t="shared" si="6"/>
        <v>0.84645499999999985</v>
      </c>
      <c r="CB11" s="159">
        <f t="shared" si="6"/>
        <v>0.53749999999999998</v>
      </c>
      <c r="CC11" s="159">
        <f t="shared" si="6"/>
        <v>1.2362500000000001</v>
      </c>
      <c r="CD11" s="161">
        <f t="shared" si="6"/>
        <v>5.4824999999999999</v>
      </c>
      <c r="CE11" s="125"/>
      <c r="CF11" s="258">
        <v>1</v>
      </c>
      <c r="CG11" s="259">
        <f t="dataTable" ref="CG11:CG12" dt2D="0" dtr="0" r1="CF10" ca="1"/>
        <v>11.804199490909099</v>
      </c>
      <c r="CH11" s="261">
        <f ca="1">CG11/CG10</f>
        <v>6.5426243330559899</v>
      </c>
      <c r="CI11" s="259">
        <v>1</v>
      </c>
      <c r="CJ11" s="259">
        <f t="dataTable" ref="CJ11:CJ12" dt2D="0" dtr="0" r1="CI10" ca="1"/>
        <v>-0.69580050909090119</v>
      </c>
      <c r="CK11" s="261">
        <f ca="1">CJ11/CJ10</f>
        <v>-0.38565608326399742</v>
      </c>
      <c r="CL11" s="258">
        <v>1</v>
      </c>
      <c r="CM11" s="259">
        <f t="dataTable" ref="CM11:CM12" dt2D="0" dtr="0" r1="CL10" ca="1"/>
        <v>-2.4333005090909055</v>
      </c>
      <c r="CN11" s="261">
        <f ca="1">CM11/CM10</f>
        <v>-1.3486870611324779</v>
      </c>
      <c r="CO11" s="247"/>
      <c r="CP11" s="262" t="str">
        <f>IF(CP7=4,"⊳","")</f>
        <v/>
      </c>
      <c r="CQ11" s="164" t="s">
        <v>76</v>
      </c>
      <c r="CR11" s="280">
        <v>4</v>
      </c>
      <c r="CS11" s="281" t="s">
        <v>69</v>
      </c>
      <c r="CT11" s="125"/>
      <c r="CU11" s="265" t="s">
        <v>65</v>
      </c>
      <c r="CV11" s="178">
        <v>13</v>
      </c>
      <c r="CW11" s="266" cm="1">
        <f t="array" aca="1" ref="CW11" ca="1">(1+CF16)*INDIRECT("income!"&amp;VLOOKUP(CP7,CR8:CS13,2,FALSE)&amp;CV11)</f>
        <v>6.697044</v>
      </c>
      <c r="CX11" s="267">
        <f ca="1">SLOPE(CH17:CH18,CF17:CF18)+0.000004</f>
        <v>3.7119239033946658</v>
      </c>
      <c r="CY11" s="268">
        <f t="shared" ca="1" si="0"/>
        <v>3</v>
      </c>
      <c r="CZ11" s="125"/>
      <c r="DA11" s="247" t="str">
        <f t="shared" ca="1" si="1"/>
        <v xml:space="preserve">Application fee </v>
      </c>
      <c r="DB11" s="269">
        <v>4</v>
      </c>
      <c r="DC11" s="270">
        <f t="shared" ca="1" si="2"/>
        <v>2.7713151665279949</v>
      </c>
      <c r="DD11" s="126"/>
      <c r="DE11" s="148" t="s">
        <v>16</v>
      </c>
      <c r="DF11" s="148" t="s">
        <v>17</v>
      </c>
      <c r="DG11" s="148" t="s">
        <v>19</v>
      </c>
      <c r="DH11" s="149">
        <f>SUM(Income!N8:N9)/DH13</f>
        <v>0.42812499999999998</v>
      </c>
      <c r="DI11" s="149">
        <f>SUM(Income!O8:O9)/DH13</f>
        <v>0.33721499999999999</v>
      </c>
      <c r="DJ11" s="149">
        <f>SUM(Income!P8:P9)/DH13</f>
        <v>0.23466000000000001</v>
      </c>
      <c r="DK11" s="125"/>
      <c r="DL11" s="271" t="s">
        <v>88</v>
      </c>
      <c r="DM11" s="148" t="s">
        <v>165</v>
      </c>
      <c r="DN11" s="148" t="s">
        <v>166</v>
      </c>
      <c r="DO11" s="148" t="s">
        <v>167</v>
      </c>
      <c r="DP11" s="150">
        <f>(Income!N24)</f>
        <v>6.3819374999999994</v>
      </c>
      <c r="DQ11" s="150">
        <f>(Income!O24)</f>
        <v>7.3139333000000022</v>
      </c>
      <c r="DR11" s="150">
        <f>(Income!P24)</f>
        <v>-6.8295804000000011</v>
      </c>
      <c r="DS11" s="271" t="s">
        <v>88</v>
      </c>
      <c r="DT11" s="148" t="s">
        <v>16</v>
      </c>
      <c r="DU11" s="148" t="s">
        <v>17</v>
      </c>
      <c r="DV11" s="148" t="s">
        <v>19</v>
      </c>
      <c r="DW11" s="149">
        <f>(Income!N10)/DW13</f>
        <v>0.40813979922237348</v>
      </c>
      <c r="DX11" s="149">
        <f>(Income!O10)/DW13</f>
        <v>0.33781414910247853</v>
      </c>
      <c r="DY11" s="149">
        <f>(Income!P10)/DW13</f>
        <v>0.25404605167514804</v>
      </c>
      <c r="DZ11" s="128" t="s">
        <v>88</v>
      </c>
    </row>
    <row r="12" spans="1:130" ht="6" customHeight="1" x14ac:dyDescent="0.3">
      <c r="B12" s="1"/>
      <c r="C12" s="179"/>
      <c r="D12" s="180"/>
      <c r="E12" s="223"/>
      <c r="F12" s="360"/>
      <c r="G12" s="362"/>
      <c r="H12" s="362"/>
      <c r="I12" s="362"/>
      <c r="J12" s="45"/>
      <c r="K12" s="223"/>
      <c r="L12" s="222"/>
      <c r="N12" s="358"/>
      <c r="O12" s="356"/>
      <c r="P12" s="354"/>
      <c r="Q12" s="184"/>
      <c r="R12" s="358"/>
      <c r="S12" s="356"/>
      <c r="T12" s="354"/>
      <c r="U12" s="185"/>
      <c r="V12" s="358"/>
      <c r="W12" s="356"/>
      <c r="X12" s="354"/>
      <c r="Z12" s="341" t="s">
        <v>41</v>
      </c>
      <c r="AA12" s="227"/>
      <c r="AB12" s="342">
        <f>Income!V9</f>
        <v>300</v>
      </c>
      <c r="AC12" s="230"/>
      <c r="AD12" s="343">
        <f>AB12/SUM(AB$10:AB$12)</f>
        <v>0.375</v>
      </c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BI12" s="124"/>
      <c r="BJ12" s="160"/>
      <c r="BK12" s="165" t="s">
        <v>149</v>
      </c>
      <c r="BL12" s="166">
        <f t="shared" ref="BL12:BS12" si="7">$F26*SUM(BL$7:BL$9)</f>
        <v>1.3158288</v>
      </c>
      <c r="BM12" s="166">
        <f t="shared" si="7"/>
        <v>1.7999999999999998</v>
      </c>
      <c r="BN12" s="166">
        <f t="shared" si="7"/>
        <v>0.44999999999999996</v>
      </c>
      <c r="BO12" s="166">
        <f t="shared" si="7"/>
        <v>0.59656319999999996</v>
      </c>
      <c r="BP12" s="166">
        <f t="shared" si="7"/>
        <v>0.38413511999999994</v>
      </c>
      <c r="BQ12" s="166">
        <f t="shared" si="7"/>
        <v>0.22499999999999998</v>
      </c>
      <c r="BR12" s="166">
        <f t="shared" si="7"/>
        <v>0.52459199999999995</v>
      </c>
      <c r="BS12" s="166">
        <f t="shared" si="7"/>
        <v>2.394288</v>
      </c>
      <c r="BT12" s="167"/>
      <c r="BU12" s="165" t="s">
        <v>149</v>
      </c>
      <c r="BV12" s="166"/>
      <c r="BW12" s="166">
        <f>$H26*SUM(BW$7:BW$9)</f>
        <v>4.6968874999999999</v>
      </c>
      <c r="BX12" s="166"/>
      <c r="BY12" s="166">
        <f t="shared" ref="BY12:CD12" si="8">$H26*SUM(BY$7:BY$9)</f>
        <v>0.77500000000000002</v>
      </c>
      <c r="BZ12" s="166">
        <f t="shared" si="8"/>
        <v>1.043925</v>
      </c>
      <c r="CA12" s="166">
        <f t="shared" si="8"/>
        <v>0.61023499999999986</v>
      </c>
      <c r="CB12" s="166">
        <f t="shared" si="8"/>
        <v>0.38750000000000001</v>
      </c>
      <c r="CC12" s="166">
        <f t="shared" si="8"/>
        <v>0.89124999999999999</v>
      </c>
      <c r="CD12" s="168">
        <f t="shared" si="8"/>
        <v>3.9525000000000001</v>
      </c>
      <c r="CE12" s="125"/>
      <c r="CF12" s="272">
        <v>2</v>
      </c>
      <c r="CG12" s="273">
        <v>21.804199490909099</v>
      </c>
      <c r="CH12" s="274">
        <f ca="1">CG12/CG10</f>
        <v>12.08524866611198</v>
      </c>
      <c r="CI12" s="259">
        <v>2</v>
      </c>
      <c r="CJ12" s="259">
        <v>-3.1958005090909012</v>
      </c>
      <c r="CK12" s="261">
        <f ca="1">CJ12/CJ10</f>
        <v>-1.7713121665279949</v>
      </c>
      <c r="CL12" s="272">
        <v>2</v>
      </c>
      <c r="CM12" s="273">
        <v>-6.6708005090909026</v>
      </c>
      <c r="CN12" s="274">
        <f ca="1">CM12/CM10</f>
        <v>-3.6973741222649519</v>
      </c>
      <c r="CO12" s="247"/>
      <c r="CP12" s="262" t="str">
        <f>IF(CP7=5,"⊳","")</f>
        <v/>
      </c>
      <c r="CQ12" s="169" t="s">
        <v>5</v>
      </c>
      <c r="CR12" s="282">
        <v>5</v>
      </c>
      <c r="CS12" s="283" t="s">
        <v>70</v>
      </c>
      <c r="CT12" s="125"/>
      <c r="CU12" s="265" t="s">
        <v>56</v>
      </c>
      <c r="CV12" s="178">
        <v>14</v>
      </c>
      <c r="CW12" s="266" cm="1">
        <f t="array" aca="1" ref="CW12" ca="1">(1+CI7)*INDIRECT("income!"&amp;VLOOKUP(CP7,CR8:CS13,2,FALSE)&amp;CV12)</f>
        <v>4.108000399999999</v>
      </c>
      <c r="CX12" s="267">
        <f ca="1">SLOPE(CK8:CK9,CI8:CI9)+0.000005</f>
        <v>2.2769152977243743</v>
      </c>
      <c r="CY12" s="268">
        <f t="shared" ca="1" si="0"/>
        <v>5</v>
      </c>
      <c r="CZ12" s="125"/>
      <c r="DA12" s="247" t="str">
        <f t="shared" ca="1" si="1"/>
        <v xml:space="preserve">Servicing fee </v>
      </c>
      <c r="DB12" s="269">
        <v>5</v>
      </c>
      <c r="DC12" s="270">
        <f t="shared" ca="1" si="2"/>
        <v>2.2769152977243743</v>
      </c>
      <c r="DD12" s="126"/>
      <c r="DE12" s="148" t="s">
        <v>1</v>
      </c>
      <c r="DF12" s="148" t="s">
        <v>86</v>
      </c>
      <c r="DG12" s="148" t="s">
        <v>36</v>
      </c>
      <c r="DH12" s="149">
        <f>SUM(Income!R8:R9)/DH13</f>
        <v>0.29249999999999998</v>
      </c>
      <c r="DI12" s="149">
        <f>SUM(Income!S8:S9)/DH13</f>
        <v>0.28937499999999999</v>
      </c>
      <c r="DJ12" s="149">
        <f>SUM(Income!T8:T9)/DH13</f>
        <v>0.41812500000000002</v>
      </c>
      <c r="DK12" s="125"/>
      <c r="DL12" s="271" t="s">
        <v>88</v>
      </c>
      <c r="DM12" s="148" t="s">
        <v>168</v>
      </c>
      <c r="DN12" s="148" t="s">
        <v>169</v>
      </c>
      <c r="DO12" s="148" t="s">
        <v>170</v>
      </c>
      <c r="DP12" s="150">
        <f>(Income!R24)</f>
        <v>3.2259297760000027</v>
      </c>
      <c r="DQ12" s="150">
        <f>(Income!S24)</f>
        <v>-2.1865599959999997</v>
      </c>
      <c r="DR12" s="150">
        <f>(Income!T24)</f>
        <v>5.8269206199999992</v>
      </c>
      <c r="DS12" s="271" t="s">
        <v>88</v>
      </c>
      <c r="DT12" s="148" t="s">
        <v>1</v>
      </c>
      <c r="DU12" s="148" t="s">
        <v>86</v>
      </c>
      <c r="DV12" s="148" t="s">
        <v>36</v>
      </c>
      <c r="DW12" s="149">
        <f>(Income!R10)/DW13</f>
        <v>0.27694155769254619</v>
      </c>
      <c r="DX12" s="149">
        <f>(Income!S10)/DW13</f>
        <v>0.28707467627895666</v>
      </c>
      <c r="DY12" s="149">
        <f>(Income!T10)/DW13</f>
        <v>0.43598376602849714</v>
      </c>
      <c r="DZ12" s="128" t="s">
        <v>88</v>
      </c>
    </row>
    <row r="13" spans="1:130" ht="6.6" customHeight="1" x14ac:dyDescent="0.3">
      <c r="A13" s="12"/>
      <c r="B13" s="1"/>
      <c r="C13" s="181"/>
      <c r="D13" s="182"/>
      <c r="E13" s="13"/>
      <c r="J13" s="45"/>
      <c r="K13" s="224"/>
      <c r="L13" s="22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2"/>
      <c r="Z13" s="341"/>
      <c r="AA13" s="227"/>
      <c r="AB13" s="342"/>
      <c r="AC13" s="230"/>
      <c r="AD13" s="343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BI13" s="124"/>
      <c r="BJ13" s="130" t="s">
        <v>150</v>
      </c>
      <c r="BK13" s="131" t="s">
        <v>144</v>
      </c>
      <c r="BL13" s="132">
        <f>(G$14*$G$16)*R27*(R31/12)</f>
        <v>0.77500000000000002</v>
      </c>
      <c r="BM13" s="132">
        <f>(G$14*$G$16)*R29</f>
        <v>1.24</v>
      </c>
      <c r="BN13" s="132">
        <f>(G$14*$G$16)*R18</f>
        <v>0.31</v>
      </c>
      <c r="BO13" s="132">
        <f>(G$14*$G$16)*R20</f>
        <v>0.372</v>
      </c>
      <c r="BP13" s="132">
        <f>(G$14*$G$16)*N14*(R31/12)</f>
        <v>0.23715</v>
      </c>
      <c r="BQ13" s="132">
        <f>(G$14*$G$16)*R22</f>
        <v>0.155</v>
      </c>
      <c r="BR13" s="132">
        <f>(G$14*$G$16)*R24</f>
        <v>0.31</v>
      </c>
      <c r="BS13" s="132">
        <f>(G$14*$G$16)*N16</f>
        <v>0.92999999999999994</v>
      </c>
      <c r="BT13" s="170" t="s">
        <v>155</v>
      </c>
      <c r="BU13" s="131" t="s">
        <v>144</v>
      </c>
      <c r="BV13" s="132">
        <f>((N34-N36*N38)+(V40-V42)/V44)</f>
        <v>5.5099999999999996E-2</v>
      </c>
      <c r="BW13" s="132">
        <f>($I14*I16)*BV13</f>
        <v>9.9179999999999993</v>
      </c>
      <c r="BX13" s="132"/>
      <c r="BY13" s="132"/>
      <c r="BZ13" s="132"/>
      <c r="CA13" s="132">
        <f>($I14*I16)*N14*(R31/12)</f>
        <v>1.377</v>
      </c>
      <c r="CB13" s="132"/>
      <c r="CC13" s="132"/>
      <c r="CD13" s="133">
        <f>($I14*I16)*N16</f>
        <v>5.3999999999999995</v>
      </c>
      <c r="CE13" s="125"/>
      <c r="CF13" s="258"/>
      <c r="CG13" s="259">
        <f ca="1">CW18</f>
        <v>1.8041994909090988</v>
      </c>
      <c r="CH13" s="259" t="s">
        <v>49</v>
      </c>
      <c r="CI13" s="250"/>
      <c r="CJ13" s="251">
        <f ca="1">CW18</f>
        <v>1.8041994909090988</v>
      </c>
      <c r="CK13" s="252" t="s">
        <v>53</v>
      </c>
      <c r="CL13" s="259"/>
      <c r="CM13" s="259">
        <f ca="1">CW18</f>
        <v>1.8041994909090988</v>
      </c>
      <c r="CN13" s="277" t="s">
        <v>55</v>
      </c>
      <c r="CO13" s="247"/>
      <c r="CP13" s="284" t="str">
        <f>IF(CP7=6,"⊳","")</f>
        <v/>
      </c>
      <c r="CQ13" s="171" t="s">
        <v>4</v>
      </c>
      <c r="CR13" s="285">
        <v>6</v>
      </c>
      <c r="CS13" s="286" t="s">
        <v>71</v>
      </c>
      <c r="CT13" s="125"/>
      <c r="CU13" s="287" t="s">
        <v>57</v>
      </c>
      <c r="CV13" s="178">
        <v>16</v>
      </c>
      <c r="CW13" s="266" cm="1">
        <f t="array" aca="1" ref="CW13" ca="1">(1+CI10)*INDIRECT("income!"&amp;VLOOKUP(CP7,CR8:CS13,2,FALSE)&amp;CV13)</f>
        <v>2.5</v>
      </c>
      <c r="CX13" s="267">
        <f ca="1">SLOPE(CK11:CK12,CI11:CI12)+0.000006</f>
        <v>-1.3856500832639975</v>
      </c>
      <c r="CY13" s="268">
        <f t="shared" ca="1" si="0"/>
        <v>6</v>
      </c>
      <c r="CZ13" s="125"/>
      <c r="DA13" s="247" t="str">
        <f t="shared" ca="1" si="1"/>
        <v xml:space="preserve">Referral fee </v>
      </c>
      <c r="DB13" s="269">
        <v>6</v>
      </c>
      <c r="DC13" s="270">
        <f t="shared" ca="1" si="2"/>
        <v>-1.3856500832639975</v>
      </c>
      <c r="DD13" s="126"/>
      <c r="DE13" s="420" t="str">
        <f>"Total = "&amp;TEXT(DH13,"$#,###")&amp;"m"</f>
        <v>Total = $800m</v>
      </c>
      <c r="DF13" s="420"/>
      <c r="DG13" s="420"/>
      <c r="DH13" s="172">
        <f>SUM(Income!V8:V9)</f>
        <v>800</v>
      </c>
      <c r="DI13" s="125"/>
      <c r="DJ13" s="125"/>
      <c r="DK13" s="125"/>
      <c r="DL13" s="271" t="s">
        <v>88</v>
      </c>
      <c r="DM13" s="420" t="str">
        <f>"Total = "&amp;TEXT(DP13,"$#,###.0")&amp;"m"</f>
        <v>Total = $6.9m</v>
      </c>
      <c r="DN13" s="420"/>
      <c r="DO13" s="420"/>
      <c r="DP13" s="173">
        <f>(Income!V24)</f>
        <v>6.8662903999999898</v>
      </c>
      <c r="DQ13" s="129"/>
      <c r="DR13" s="129"/>
      <c r="DS13" s="271" t="s">
        <v>88</v>
      </c>
      <c r="DT13" s="420" t="str">
        <f>"Total = "&amp;TEXT(DW13,"$#,###")&amp;"m"</f>
        <v>Total = $40m</v>
      </c>
      <c r="DU13" s="420"/>
      <c r="DV13" s="420"/>
      <c r="DW13" s="172">
        <f>(Income!V10)</f>
        <v>39.827345999999999</v>
      </c>
      <c r="DX13" s="129"/>
      <c r="DY13" s="129"/>
      <c r="DZ13" s="128" t="s">
        <v>88</v>
      </c>
    </row>
    <row r="14" spans="1:130" ht="6" customHeight="1" x14ac:dyDescent="0.3">
      <c r="C14" s="181"/>
      <c r="D14" s="182"/>
      <c r="E14" s="370" t="s">
        <v>126</v>
      </c>
      <c r="F14" s="431">
        <v>150</v>
      </c>
      <c r="G14" s="441">
        <v>100</v>
      </c>
      <c r="H14" s="441">
        <v>250</v>
      </c>
      <c r="I14" s="437">
        <v>300</v>
      </c>
      <c r="K14" s="198"/>
      <c r="L14" s="222"/>
      <c r="M14" s="345" t="s">
        <v>110</v>
      </c>
      <c r="N14" s="439">
        <v>1.5299999999999999E-2</v>
      </c>
      <c r="O14" s="442">
        <v>1.7500000000000002E-2</v>
      </c>
      <c r="P14" s="443">
        <v>1.8599999999999998E-2</v>
      </c>
      <c r="Q14" s="194"/>
      <c r="R14" s="344"/>
      <c r="S14" s="344"/>
      <c r="T14" s="344"/>
      <c r="U14" s="220"/>
      <c r="V14" s="220"/>
      <c r="W14" s="220"/>
      <c r="X14" s="220"/>
      <c r="Y14" s="12"/>
      <c r="Z14" s="339" t="s">
        <v>191</v>
      </c>
      <c r="AA14" s="227"/>
      <c r="AB14" s="337">
        <f>Income!V10</f>
        <v>39.827345999999999</v>
      </c>
      <c r="AC14" s="230"/>
      <c r="AD14" s="335">
        <f>AB14/SUM(AB$10:AB$12)</f>
        <v>4.9784182499999996E-2</v>
      </c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BI14" s="124"/>
      <c r="BJ14" s="142" t="s">
        <v>151</v>
      </c>
      <c r="BK14" s="143" t="s">
        <v>148</v>
      </c>
      <c r="BL14" s="144">
        <f>(G$14*$G$18)*S27*(S31/12)</f>
        <v>1.008</v>
      </c>
      <c r="BM14" s="144">
        <f>(G$14*$G$18)*S29</f>
        <v>1.44</v>
      </c>
      <c r="BN14" s="144">
        <f>(G$14*$G$18)*S18</f>
        <v>0.36</v>
      </c>
      <c r="BO14" s="144">
        <f>(G$14*$G$18)*S20</f>
        <v>0.54</v>
      </c>
      <c r="BP14" s="144">
        <f>(G$14*$G$18)*O14*(S31/12)</f>
        <v>0.31500000000000006</v>
      </c>
      <c r="BQ14" s="144">
        <f>(G$14*$G$18)*S22</f>
        <v>0.18</v>
      </c>
      <c r="BR14" s="144">
        <f>(G$14*$G$18)*S24</f>
        <v>0.36</v>
      </c>
      <c r="BS14" s="144">
        <f>(G$14*$G$18)*O16</f>
        <v>1.08</v>
      </c>
      <c r="BT14" s="145" t="s">
        <v>154</v>
      </c>
      <c r="BU14" s="143" t="s">
        <v>148</v>
      </c>
      <c r="BV14" s="144">
        <f>((O34-O36*O38)+(W40-W42)/W44)</f>
        <v>5.96E-2</v>
      </c>
      <c r="BW14" s="144">
        <f>($I14*I18)*BV14</f>
        <v>5.3639999999999999</v>
      </c>
      <c r="BX14" s="144"/>
      <c r="BY14" s="144"/>
      <c r="BZ14" s="144"/>
      <c r="CA14" s="144">
        <f>($I14*I18)*O14*(S31/12)</f>
        <v>0.78750000000000009</v>
      </c>
      <c r="CB14" s="144"/>
      <c r="CC14" s="144"/>
      <c r="CD14" s="146">
        <f>($I14*I18)*O16</f>
        <v>2.6999999999999997</v>
      </c>
      <c r="CE14" s="125"/>
      <c r="CF14" s="258">
        <v>1</v>
      </c>
      <c r="CG14" s="259">
        <f t="dataTable" ref="CG14:CG15" dt2D="0" dtr="0" r1="CF13" ca="1"/>
        <v>6.8041994909090988</v>
      </c>
      <c r="CH14" s="260">
        <f ca="1">CG14/CG13</f>
        <v>3.7713121665279949</v>
      </c>
      <c r="CI14" s="258">
        <v>1</v>
      </c>
      <c r="CJ14" s="259">
        <f t="dataTable" ref="CJ14:CJ15" dt2D="0" dtr="0" r1="CI13" ca="1"/>
        <v>-3.9844405090909021</v>
      </c>
      <c r="CK14" s="261">
        <f ca="1">CJ14/CJ13</f>
        <v>-2.2084256919301231</v>
      </c>
      <c r="CL14" s="259">
        <v>1</v>
      </c>
      <c r="CM14" s="259">
        <f t="dataTable" ref="CM14:CM15" dt2D="0" dtr="0" r1="CL13" ca="1"/>
        <v>-6.1048914181818148</v>
      </c>
      <c r="CN14" s="261">
        <f ca="1">CM14/CM13</f>
        <v>-3.3837119725079217</v>
      </c>
      <c r="CO14" s="247"/>
      <c r="CP14" s="126"/>
      <c r="CQ14" s="127"/>
      <c r="CR14" s="127"/>
      <c r="CS14" s="126"/>
      <c r="CT14" s="125"/>
      <c r="CU14" s="287" t="s">
        <v>58</v>
      </c>
      <c r="CV14" s="178">
        <v>17</v>
      </c>
      <c r="CW14" s="266" cm="1">
        <f t="array" aca="1" ref="CW14" ca="1">(1+CI13)*INDIRECT("income!"&amp;VLOOKUP(CP7,CR8:CS13,2,FALSE)&amp;CV14)</f>
        <v>5.78864</v>
      </c>
      <c r="CX14" s="267">
        <f ca="1">SLOPE(CK14:CK15,CI14:CI15)+0.000007</f>
        <v>-3.208418691930123</v>
      </c>
      <c r="CY14" s="268">
        <f t="shared" ca="1" si="0"/>
        <v>8</v>
      </c>
      <c r="CZ14" s="125"/>
      <c r="DA14" s="247" t="str">
        <f t="shared" ca="1" si="1"/>
        <v xml:space="preserve">Direct fixed </v>
      </c>
      <c r="DB14" s="269">
        <v>7</v>
      </c>
      <c r="DC14" s="270">
        <f t="shared" ca="1" si="2"/>
        <v>-2.3486780611324742</v>
      </c>
      <c r="DD14" s="126"/>
      <c r="DE14" s="125"/>
      <c r="DF14" s="125"/>
      <c r="DG14" s="125"/>
      <c r="DH14" s="125"/>
      <c r="DI14" s="125"/>
      <c r="DJ14" s="125"/>
      <c r="DK14" s="125"/>
      <c r="DL14" s="125"/>
      <c r="DM14" s="129"/>
      <c r="DN14" s="129"/>
      <c r="DO14" s="129"/>
      <c r="DP14" s="129"/>
      <c r="DQ14" s="129"/>
      <c r="DR14" s="129"/>
      <c r="DS14" s="129"/>
      <c r="DT14" s="129"/>
      <c r="DU14" s="129"/>
      <c r="DV14" s="129"/>
      <c r="DW14" s="129"/>
      <c r="DX14" s="129"/>
      <c r="DY14" s="129"/>
      <c r="DZ14" s="128" t="s">
        <v>88</v>
      </c>
    </row>
    <row r="15" spans="1:130" ht="6.6" customHeight="1" x14ac:dyDescent="0.3">
      <c r="C15" s="181"/>
      <c r="D15" s="182"/>
      <c r="E15" s="370"/>
      <c r="F15" s="432"/>
      <c r="G15" s="444"/>
      <c r="H15" s="444"/>
      <c r="I15" s="438"/>
      <c r="J15" s="14"/>
      <c r="K15" s="13"/>
      <c r="L15" s="13"/>
      <c r="M15" s="345"/>
      <c r="N15" s="440"/>
      <c r="O15" s="445"/>
      <c r="P15" s="446"/>
      <c r="Q15" s="225"/>
      <c r="R15" s="344"/>
      <c r="S15" s="344"/>
      <c r="T15" s="344"/>
      <c r="U15" s="220"/>
      <c r="V15" s="220"/>
      <c r="W15" s="220"/>
      <c r="X15" s="220"/>
      <c r="Y15" s="12"/>
      <c r="Z15" s="339"/>
      <c r="AB15" s="337"/>
      <c r="AC15" s="230"/>
      <c r="AD15" s="335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BI15" s="124"/>
      <c r="BJ15" s="154" t="s">
        <v>153</v>
      </c>
      <c r="BK15" s="152" t="s">
        <v>145</v>
      </c>
      <c r="BL15" s="153">
        <f>(G$14*$G$20)*T27*(T31/12)</f>
        <v>1.155</v>
      </c>
      <c r="BM15" s="153">
        <f>(G$14*$G$20)*T29</f>
        <v>1.32</v>
      </c>
      <c r="BN15" s="153">
        <f>(G$14*$G$20)*T18</f>
        <v>0.33</v>
      </c>
      <c r="BO15" s="153">
        <f>(G$14*$G$20)*T20</f>
        <v>0.42899999999999999</v>
      </c>
      <c r="BP15" s="153">
        <f>(G$14*$G$20)*P14*(T31/12)</f>
        <v>0.30689999999999995</v>
      </c>
      <c r="BQ15" s="153">
        <f>(G$14*$G$20)*T22</f>
        <v>0.16500000000000001</v>
      </c>
      <c r="BR15" s="153">
        <f>(G$14*$G$20)*T24</f>
        <v>0.495</v>
      </c>
      <c r="BS15" s="153">
        <f>(G$14*$G$20)*P16</f>
        <v>3.3000000000000003</v>
      </c>
      <c r="BT15" s="154" t="s">
        <v>153</v>
      </c>
      <c r="BU15" s="152" t="s">
        <v>145</v>
      </c>
      <c r="BV15" s="153">
        <f>((P34-P36*P38)+(X40-X42)/X44)</f>
        <v>6.8999999999999992E-2</v>
      </c>
      <c r="BW15" s="153">
        <f>($I14*I20)*BV15</f>
        <v>2.0699999999999998</v>
      </c>
      <c r="BX15" s="153"/>
      <c r="BY15" s="153"/>
      <c r="BZ15" s="153"/>
      <c r="CA15" s="153">
        <f>($I14*I20)*P14*(T31/12)</f>
        <v>0.27899999999999997</v>
      </c>
      <c r="CB15" s="153"/>
      <c r="CC15" s="153"/>
      <c r="CD15" s="155">
        <f>($I14*I20)*P16</f>
        <v>3</v>
      </c>
      <c r="CE15" s="125"/>
      <c r="CF15" s="258">
        <v>2</v>
      </c>
      <c r="CG15" s="259">
        <v>11.804199490909099</v>
      </c>
      <c r="CH15" s="260">
        <f ca="1">CG15/CG13</f>
        <v>6.5426243330559899</v>
      </c>
      <c r="CI15" s="272">
        <v>2</v>
      </c>
      <c r="CJ15" s="273">
        <v>-9.773080509090903</v>
      </c>
      <c r="CK15" s="274">
        <f ca="1">CJ15/CJ13</f>
        <v>-5.4168513838602461</v>
      </c>
      <c r="CL15" s="273">
        <v>2</v>
      </c>
      <c r="CM15" s="273">
        <v>-14.013982327272721</v>
      </c>
      <c r="CN15" s="274">
        <f ca="1">CM15/CM13</f>
        <v>-7.7674239450158398</v>
      </c>
      <c r="CO15" s="247"/>
      <c r="CP15" s="126"/>
      <c r="CQ15" s="127"/>
      <c r="CR15" s="127"/>
      <c r="CS15" s="126"/>
      <c r="CT15" s="125"/>
      <c r="CU15" s="288" t="s">
        <v>59</v>
      </c>
      <c r="CV15" s="23">
        <v>20</v>
      </c>
      <c r="CW15" s="289" cm="1">
        <f t="array" aca="1" ref="CW15" ca="1">(1+CL7)*INDIRECT("income!"&amp;VLOOKUP(CP7,CR8:CS13,2,FALSE)&amp;CV15)</f>
        <v>26.040959999999998</v>
      </c>
      <c r="CX15" s="290">
        <f ca="1">SLOPE(CN8:CN9,CL8:CL9)+0.000008</f>
        <v>-14.43351785521377</v>
      </c>
      <c r="CY15" s="291">
        <f t="shared" ca="1" si="0"/>
        <v>10</v>
      </c>
      <c r="CZ15" s="242"/>
      <c r="DA15" s="292" t="str">
        <f t="shared" ca="1" si="1"/>
        <v xml:space="preserve">Commission </v>
      </c>
      <c r="DB15" s="293">
        <v>8</v>
      </c>
      <c r="DC15" s="294">
        <f t="shared" ca="1" si="2"/>
        <v>-3.208418691930123</v>
      </c>
      <c r="DD15" s="243"/>
      <c r="DE15" s="242"/>
      <c r="DF15" s="242"/>
      <c r="DG15" s="242"/>
      <c r="DH15" s="125"/>
      <c r="DI15" s="125"/>
      <c r="DJ15" s="125"/>
      <c r="DK15" s="125"/>
      <c r="DL15" s="125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8" t="s">
        <v>88</v>
      </c>
    </row>
    <row r="16" spans="1:130" ht="6" customHeight="1" x14ac:dyDescent="0.25">
      <c r="C16" s="181"/>
      <c r="D16" s="183"/>
      <c r="E16" s="368" t="s">
        <v>80</v>
      </c>
      <c r="F16" s="447">
        <v>0.36</v>
      </c>
      <c r="G16" s="433">
        <v>0.31</v>
      </c>
      <c r="H16" s="448">
        <v>0.31</v>
      </c>
      <c r="I16" s="449">
        <v>0.6</v>
      </c>
      <c r="K16" s="198"/>
      <c r="L16" s="41"/>
      <c r="M16" s="401" t="s">
        <v>111</v>
      </c>
      <c r="N16" s="450">
        <v>0.03</v>
      </c>
      <c r="O16" s="451">
        <v>0.03</v>
      </c>
      <c r="P16" s="452">
        <v>0.1</v>
      </c>
      <c r="Q16" s="195"/>
      <c r="R16" s="190"/>
      <c r="S16" s="190"/>
      <c r="T16" s="190"/>
      <c r="U16" s="220"/>
      <c r="V16" s="220"/>
      <c r="W16" s="220"/>
      <c r="X16" s="220"/>
      <c r="Y16" s="41"/>
      <c r="Z16" s="339" t="s">
        <v>190</v>
      </c>
      <c r="AA16" s="227"/>
      <c r="AB16" s="337">
        <f>Income!V11</f>
        <v>10</v>
      </c>
      <c r="AC16" s="230"/>
      <c r="AD16" s="335">
        <f>AB16/SUM(AB$10:AB$12)</f>
        <v>1.2500000000000001E-2</v>
      </c>
      <c r="BI16" s="124"/>
      <c r="BJ16" s="160"/>
      <c r="BK16" s="158" t="s">
        <v>146</v>
      </c>
      <c r="BL16" s="159">
        <f t="shared" ref="BL16:BS16" si="9">$G22*SUM(BL$13:BL$15)</f>
        <v>0.82264000000000004</v>
      </c>
      <c r="BM16" s="159">
        <f t="shared" si="9"/>
        <v>1.1200000000000001</v>
      </c>
      <c r="BN16" s="159">
        <f t="shared" si="9"/>
        <v>0.28000000000000003</v>
      </c>
      <c r="BO16" s="159">
        <f t="shared" si="9"/>
        <v>0.37548000000000004</v>
      </c>
      <c r="BP16" s="159">
        <f t="shared" si="9"/>
        <v>0.24053400000000003</v>
      </c>
      <c r="BQ16" s="159">
        <f t="shared" si="9"/>
        <v>0.14000000000000001</v>
      </c>
      <c r="BR16" s="159">
        <f t="shared" si="9"/>
        <v>0.32620000000000005</v>
      </c>
      <c r="BS16" s="159">
        <f t="shared" si="9"/>
        <v>1.4868000000000003</v>
      </c>
      <c r="BT16" s="160"/>
      <c r="BU16" s="158" t="s">
        <v>146</v>
      </c>
      <c r="BV16" s="159"/>
      <c r="BW16" s="159">
        <f>$I22*SUM(BW$13:BW$15)</f>
        <v>4.3380000000000001</v>
      </c>
      <c r="BX16" s="159"/>
      <c r="BY16" s="159"/>
      <c r="BZ16" s="159"/>
      <c r="CA16" s="159">
        <f>$I22*SUM(CA$13:CA$15)</f>
        <v>0.61087500000000006</v>
      </c>
      <c r="CB16" s="159"/>
      <c r="CC16" s="159"/>
      <c r="CD16" s="161">
        <f>$I22*SUM(CD$13:CD$15)</f>
        <v>2.7749999999999999</v>
      </c>
      <c r="CE16" s="125"/>
      <c r="CF16" s="250"/>
      <c r="CG16" s="251">
        <f ca="1">CW18</f>
        <v>1.8041994909090988</v>
      </c>
      <c r="CH16" s="252" t="s">
        <v>50</v>
      </c>
      <c r="CI16" s="248"/>
      <c r="CJ16" s="248"/>
      <c r="CK16" s="248"/>
      <c r="CL16" s="248"/>
      <c r="CM16" s="248"/>
      <c r="CN16" s="248"/>
      <c r="CO16" s="247"/>
      <c r="CP16" s="125"/>
      <c r="CQ16" s="125"/>
      <c r="CR16" s="125"/>
      <c r="CS16" s="125"/>
      <c r="CT16" s="125"/>
      <c r="CU16" s="288" t="s">
        <v>73</v>
      </c>
      <c r="CV16" s="23">
        <v>21</v>
      </c>
      <c r="CW16" s="289" cm="1">
        <f t="array" aca="1" ref="CW16" ca="1">(1+CL10)*INDIRECT("income!"&amp;VLOOKUP(CP7,CR8:CS13,2,FALSE)&amp;CV16)</f>
        <v>4.2374999999999998</v>
      </c>
      <c r="CX16" s="290">
        <f ca="1">SLOPE(CN11:CN12,CL11:CL12)+0.000009</f>
        <v>-2.3486780611324742</v>
      </c>
      <c r="CY16" s="291">
        <f t="shared" ca="1" si="0"/>
        <v>7</v>
      </c>
      <c r="CZ16" s="242"/>
      <c r="DA16" s="292" t="str">
        <f t="shared" ca="1" si="1"/>
        <v xml:space="preserve">Indirect fixed </v>
      </c>
      <c r="DB16" s="293">
        <v>9</v>
      </c>
      <c r="DC16" s="294">
        <f t="shared" ca="1" si="2"/>
        <v>-4.3837108725079172</v>
      </c>
      <c r="DD16" s="243"/>
      <c r="DE16" s="244"/>
      <c r="DF16" s="242"/>
      <c r="DG16" s="242"/>
      <c r="DH16" s="174"/>
      <c r="DI16" s="175"/>
      <c r="DJ16" s="175"/>
      <c r="DK16" s="125"/>
      <c r="DL16" s="125"/>
      <c r="DM16" s="129"/>
      <c r="DN16" s="129"/>
      <c r="DO16" s="129"/>
      <c r="DP16" s="129"/>
      <c r="DQ16" s="129"/>
      <c r="DR16" s="129"/>
      <c r="DS16" s="129"/>
      <c r="DT16" s="125"/>
      <c r="DU16" s="125"/>
      <c r="DV16" s="125"/>
      <c r="DW16" s="125"/>
      <c r="DX16" s="125"/>
      <c r="DY16" s="125"/>
      <c r="DZ16" s="128" t="s">
        <v>88</v>
      </c>
    </row>
    <row r="17" spans="1:130" s="12" customFormat="1" ht="6.6" customHeight="1" x14ac:dyDescent="0.3">
      <c r="A17" s="18"/>
      <c r="B17" s="16"/>
      <c r="C17" s="183"/>
      <c r="D17" s="183"/>
      <c r="E17" s="369"/>
      <c r="F17" s="453"/>
      <c r="G17" s="434"/>
      <c r="H17" s="454"/>
      <c r="I17" s="455"/>
      <c r="J17" s="41"/>
      <c r="K17" s="198"/>
      <c r="L17" s="43"/>
      <c r="M17" s="402"/>
      <c r="N17" s="456"/>
      <c r="O17" s="457"/>
      <c r="P17" s="458"/>
      <c r="Q17" s="226"/>
      <c r="R17" s="190"/>
      <c r="S17" s="190"/>
      <c r="T17" s="190"/>
      <c r="U17" s="220"/>
      <c r="V17" s="220"/>
      <c r="W17" s="220"/>
      <c r="X17" s="220"/>
      <c r="Y17" s="13"/>
      <c r="Z17" s="339"/>
      <c r="AB17" s="337"/>
      <c r="AC17" s="231"/>
      <c r="AD17" s="335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BI17" s="176"/>
      <c r="BJ17" s="160"/>
      <c r="BK17" s="163" t="s">
        <v>147</v>
      </c>
      <c r="BL17" s="159">
        <f t="shared" ref="BL17:BS17" si="10">$G24*SUM(BL$13:BL$15)</f>
        <v>1.1752</v>
      </c>
      <c r="BM17" s="159">
        <f t="shared" si="10"/>
        <v>1.6</v>
      </c>
      <c r="BN17" s="159">
        <f t="shared" si="10"/>
        <v>0.4</v>
      </c>
      <c r="BO17" s="159">
        <f t="shared" si="10"/>
        <v>0.53639999999999999</v>
      </c>
      <c r="BP17" s="159">
        <f t="shared" si="10"/>
        <v>0.34362000000000004</v>
      </c>
      <c r="BQ17" s="159">
        <f t="shared" si="10"/>
        <v>0.2</v>
      </c>
      <c r="BR17" s="159">
        <f t="shared" si="10"/>
        <v>0.46600000000000003</v>
      </c>
      <c r="BS17" s="159">
        <f t="shared" si="10"/>
        <v>2.1240000000000001</v>
      </c>
      <c r="BT17" s="160"/>
      <c r="BU17" s="163" t="s">
        <v>147</v>
      </c>
      <c r="BV17" s="159"/>
      <c r="BW17" s="159">
        <f>$I24*SUM(BW$13:BW$15)</f>
        <v>2.6027999999999998</v>
      </c>
      <c r="BX17" s="159"/>
      <c r="BY17" s="159"/>
      <c r="BZ17" s="159"/>
      <c r="CA17" s="159">
        <f>$I24*SUM(CA$13:CA$15)</f>
        <v>0.36652500000000005</v>
      </c>
      <c r="CB17" s="159"/>
      <c r="CC17" s="159"/>
      <c r="CD17" s="161">
        <f>$I24*SUM(CD$13:CD$15)</f>
        <v>1.6649999999999998</v>
      </c>
      <c r="CE17" s="125"/>
      <c r="CF17" s="258">
        <v>1</v>
      </c>
      <c r="CG17" s="259">
        <f t="dataTable" ref="CG17:CG18" dt2D="0" dtr="0" r1="CF16" ca="1"/>
        <v>8.501243490909097</v>
      </c>
      <c r="CH17" s="261">
        <f ca="1">CG17/CG16</f>
        <v>4.7119199033946604</v>
      </c>
      <c r="CI17" s="248"/>
      <c r="CJ17" s="248"/>
      <c r="CK17" s="248"/>
      <c r="CL17" s="248"/>
      <c r="CM17" s="248"/>
      <c r="CN17" s="248"/>
      <c r="CO17" s="247"/>
      <c r="CP17" s="247"/>
      <c r="CQ17" s="125"/>
      <c r="CR17" s="125"/>
      <c r="CS17" s="125"/>
      <c r="CT17" s="125"/>
      <c r="CU17" s="288" t="s">
        <v>74</v>
      </c>
      <c r="CV17" s="23">
        <v>22</v>
      </c>
      <c r="CW17" s="289" cm="1">
        <f t="array" aca="1" ref="CW17" ca="1">(1+CL13)*INDIRECT("income!"&amp;VLOOKUP(CP7,CR8:CS13,2,FALSE)&amp;CV17)</f>
        <v>7.9090909090909092</v>
      </c>
      <c r="CX17" s="290">
        <f ca="1">SLOPE(CN14:CN15,CL14:CL15)+0.0000011</f>
        <v>-4.3837108725079172</v>
      </c>
      <c r="CY17" s="291">
        <f t="shared" ca="1" si="0"/>
        <v>9</v>
      </c>
      <c r="CZ17" s="242"/>
      <c r="DA17" s="292" t="str">
        <f t="shared" ca="1" si="1"/>
        <v xml:space="preserve">Overhead </v>
      </c>
      <c r="DB17" s="293">
        <v>10</v>
      </c>
      <c r="DC17" s="294">
        <f t="shared" ca="1" si="2"/>
        <v>-14.43351785521377</v>
      </c>
      <c r="DD17" s="243"/>
      <c r="DE17" s="242"/>
      <c r="DF17" s="242"/>
      <c r="DG17" s="242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8" t="s">
        <v>88</v>
      </c>
    </row>
    <row r="18" spans="1:130" s="12" customFormat="1" ht="6" customHeight="1" x14ac:dyDescent="0.3">
      <c r="A18" s="18"/>
      <c r="B18" s="41"/>
      <c r="C18" s="183"/>
      <c r="D18" s="181"/>
      <c r="E18" s="366" t="s">
        <v>81</v>
      </c>
      <c r="F18" s="459">
        <v>0.30848000000000003</v>
      </c>
      <c r="G18" s="435">
        <v>0.36</v>
      </c>
      <c r="H18" s="460">
        <v>0.39</v>
      </c>
      <c r="I18" s="461">
        <v>0.3</v>
      </c>
      <c r="J18" s="16"/>
      <c r="K18" s="198"/>
      <c r="L18" s="43"/>
      <c r="M18" s="345" t="s">
        <v>112</v>
      </c>
      <c r="N18" s="187"/>
      <c r="O18" s="187"/>
      <c r="P18" s="187"/>
      <c r="Q18" s="187"/>
      <c r="R18" s="462">
        <v>0.01</v>
      </c>
      <c r="S18" s="463">
        <v>0.01</v>
      </c>
      <c r="T18" s="464">
        <v>0.01</v>
      </c>
      <c r="U18" s="220"/>
      <c r="V18" s="220"/>
      <c r="W18" s="220"/>
      <c r="X18" s="220"/>
      <c r="Y18" s="13"/>
      <c r="Z18" s="339" t="s">
        <v>189</v>
      </c>
      <c r="AA18" s="227"/>
      <c r="AB18" s="337">
        <f>Income!V12</f>
        <v>5</v>
      </c>
      <c r="AC18" s="230"/>
      <c r="AD18" s="335">
        <f>AB18/SUM(AB$10:AB$12)</f>
        <v>6.2500000000000003E-3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BI18" s="141"/>
      <c r="BJ18" s="177"/>
      <c r="BK18" s="165" t="s">
        <v>149</v>
      </c>
      <c r="BL18" s="166">
        <f t="shared" ref="BL18:BS18" si="11">$G26*SUM(BL$13:BL$15)</f>
        <v>0.94015999999999988</v>
      </c>
      <c r="BM18" s="166">
        <f t="shared" si="11"/>
        <v>1.28</v>
      </c>
      <c r="BN18" s="166">
        <f t="shared" si="11"/>
        <v>0.32</v>
      </c>
      <c r="BO18" s="166">
        <f t="shared" si="11"/>
        <v>0.42912</v>
      </c>
      <c r="BP18" s="166">
        <f t="shared" si="11"/>
        <v>0.27489599999999997</v>
      </c>
      <c r="BQ18" s="166">
        <f t="shared" si="11"/>
        <v>0.16</v>
      </c>
      <c r="BR18" s="166">
        <f t="shared" si="11"/>
        <v>0.37280000000000002</v>
      </c>
      <c r="BS18" s="166">
        <f t="shared" si="11"/>
        <v>1.6992000000000003</v>
      </c>
      <c r="BT18" s="177"/>
      <c r="BU18" s="165" t="s">
        <v>149</v>
      </c>
      <c r="BV18" s="166"/>
      <c r="BW18" s="166">
        <f>$I26*SUM(BW$13:BW$15)</f>
        <v>10.411199999999999</v>
      </c>
      <c r="BX18" s="166"/>
      <c r="BY18" s="166"/>
      <c r="BZ18" s="166"/>
      <c r="CA18" s="166">
        <f>$I26*SUM(CA$13:CA$15)</f>
        <v>1.4661000000000002</v>
      </c>
      <c r="CB18" s="166"/>
      <c r="CC18" s="166"/>
      <c r="CD18" s="168">
        <f>$I26*SUM(CD$13:CD$15)</f>
        <v>6.6599999999999993</v>
      </c>
      <c r="CE18" s="125"/>
      <c r="CF18" s="272">
        <v>2</v>
      </c>
      <c r="CG18" s="273">
        <v>15.198287490909102</v>
      </c>
      <c r="CH18" s="274">
        <f ca="1">CG18/CG16</f>
        <v>8.4238398067893261</v>
      </c>
      <c r="CI18" s="248"/>
      <c r="CJ18" s="248"/>
      <c r="CK18" s="248"/>
      <c r="CL18" s="248"/>
      <c r="CM18" s="248"/>
      <c r="CN18" s="248"/>
      <c r="CO18" s="247"/>
      <c r="CP18" s="247"/>
      <c r="CQ18" s="295"/>
      <c r="CR18" s="295"/>
      <c r="CS18" s="295"/>
      <c r="CT18" s="295"/>
      <c r="CU18" s="296" t="s">
        <v>40</v>
      </c>
      <c r="CV18" s="297"/>
      <c r="CW18" s="298">
        <f ca="1">SUM(CW8:CW12)-SUM(CW13:CW17)</f>
        <v>1.8041994909090988</v>
      </c>
      <c r="CX18" s="299"/>
      <c r="CY18" s="300"/>
      <c r="CZ18" s="242"/>
      <c r="DA18" s="292"/>
      <c r="DB18" s="292"/>
      <c r="DC18" s="292"/>
      <c r="DD18" s="243"/>
      <c r="DE18" s="242"/>
      <c r="DF18" s="242"/>
      <c r="DG18" s="242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8" t="s">
        <v>88</v>
      </c>
    </row>
    <row r="19" spans="1:130" ht="6.6" customHeight="1" x14ac:dyDescent="0.3">
      <c r="C19" s="181"/>
      <c r="D19" s="181"/>
      <c r="E19" s="366"/>
      <c r="F19" s="453"/>
      <c r="G19" s="434"/>
      <c r="H19" s="454"/>
      <c r="I19" s="455"/>
      <c r="K19" s="198"/>
      <c r="L19" s="43"/>
      <c r="M19" s="345"/>
      <c r="N19" s="187"/>
      <c r="O19" s="187"/>
      <c r="P19" s="187"/>
      <c r="Q19" s="187"/>
      <c r="R19" s="465"/>
      <c r="S19" s="466"/>
      <c r="T19" s="467"/>
      <c r="U19" s="220"/>
      <c r="V19" s="220"/>
      <c r="W19" s="220"/>
      <c r="X19" s="220"/>
      <c r="Z19" s="339"/>
      <c r="AB19" s="337"/>
      <c r="AC19" s="230"/>
      <c r="AD19" s="335"/>
      <c r="AE19" s="12"/>
      <c r="BI19" s="141"/>
      <c r="BJ19" s="124"/>
      <c r="BK19" s="178"/>
      <c r="BL19" s="178"/>
      <c r="BM19" s="178"/>
      <c r="BN19" s="178"/>
      <c r="BO19" s="178"/>
      <c r="BP19" s="178"/>
      <c r="BQ19" s="176"/>
      <c r="BR19" s="124"/>
      <c r="BS19" s="124"/>
      <c r="BT19" s="124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41"/>
    </row>
    <row r="20" spans="1:130" ht="6" customHeight="1" x14ac:dyDescent="0.3">
      <c r="C20" s="181"/>
      <c r="D20" s="181"/>
      <c r="E20" s="366" t="s">
        <v>82</v>
      </c>
      <c r="F20" s="459">
        <v>0.33151999999999998</v>
      </c>
      <c r="G20" s="435">
        <v>0.33</v>
      </c>
      <c r="H20" s="460">
        <v>0.3</v>
      </c>
      <c r="I20" s="461">
        <v>0.1</v>
      </c>
      <c r="K20" s="198"/>
      <c r="L20" s="43"/>
      <c r="M20" s="345" t="s">
        <v>113</v>
      </c>
      <c r="N20" s="187"/>
      <c r="O20" s="187"/>
      <c r="P20" s="187"/>
      <c r="Q20" s="187"/>
      <c r="R20" s="468">
        <v>1.2E-2</v>
      </c>
      <c r="S20" s="439">
        <v>1.4999999999999999E-2</v>
      </c>
      <c r="T20" s="469">
        <v>1.2999999999999999E-2</v>
      </c>
      <c r="U20" s="220"/>
      <c r="V20" s="220"/>
      <c r="W20" s="220"/>
      <c r="X20" s="220"/>
      <c r="Z20" s="339" t="s">
        <v>192</v>
      </c>
      <c r="AA20" s="227"/>
      <c r="AB20" s="337">
        <f>Income!V13</f>
        <v>6.697044</v>
      </c>
      <c r="AC20" s="230"/>
      <c r="AD20" s="335">
        <f>AB20/SUM(AB$10:AB$12)</f>
        <v>8.3713050000000008E-3</v>
      </c>
      <c r="BI20" s="12"/>
      <c r="BQ20" s="37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2"/>
    </row>
    <row r="21" spans="1:130" ht="6.6" customHeight="1" x14ac:dyDescent="0.3">
      <c r="C21" s="181"/>
      <c r="D21" s="181"/>
      <c r="E21" s="367"/>
      <c r="F21" s="470"/>
      <c r="G21" s="436"/>
      <c r="H21" s="471"/>
      <c r="I21" s="472"/>
      <c r="K21" s="198"/>
      <c r="L21" s="43"/>
      <c r="M21" s="345"/>
      <c r="N21" s="187"/>
      <c r="O21" s="187"/>
      <c r="P21" s="187"/>
      <c r="Q21" s="187"/>
      <c r="R21" s="473"/>
      <c r="S21" s="440"/>
      <c r="T21" s="474"/>
      <c r="U21" s="220"/>
      <c r="V21" s="220"/>
      <c r="W21" s="220"/>
      <c r="X21" s="220"/>
      <c r="Z21" s="339"/>
      <c r="AB21" s="337"/>
      <c r="AC21" s="230"/>
      <c r="AD21" s="335"/>
      <c r="BQ21" s="37"/>
      <c r="BR21" s="23"/>
      <c r="BS21" s="23"/>
      <c r="BT21" s="23"/>
      <c r="BU21" s="23"/>
      <c r="BV21" s="23"/>
      <c r="BW21" s="23"/>
      <c r="BX21" s="23"/>
      <c r="BY21" s="23"/>
      <c r="CE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12"/>
    </row>
    <row r="22" spans="1:130" ht="6" customHeight="1" x14ac:dyDescent="0.3">
      <c r="C22" s="181"/>
      <c r="D22" s="181"/>
      <c r="E22" s="363" t="s">
        <v>95</v>
      </c>
      <c r="F22" s="475">
        <v>0.44</v>
      </c>
      <c r="G22" s="476">
        <v>0.28000000000000003</v>
      </c>
      <c r="H22" s="476">
        <v>0.26</v>
      </c>
      <c r="I22" s="449">
        <v>0.25</v>
      </c>
      <c r="K22" s="198"/>
      <c r="L22" s="43"/>
      <c r="M22" s="345" t="s">
        <v>18</v>
      </c>
      <c r="N22" s="187"/>
      <c r="O22" s="187"/>
      <c r="P22" s="187"/>
      <c r="Q22" s="187"/>
      <c r="R22" s="477">
        <v>5.0000000000000001E-3</v>
      </c>
      <c r="S22" s="478">
        <v>5.0000000000000001E-3</v>
      </c>
      <c r="T22" s="479">
        <v>5.0000000000000001E-3</v>
      </c>
      <c r="U22" s="220"/>
      <c r="V22" s="220"/>
      <c r="W22" s="220"/>
      <c r="X22" s="220"/>
      <c r="Z22" s="339" t="s">
        <v>193</v>
      </c>
      <c r="AA22" s="227"/>
      <c r="AB22" s="337">
        <f>Income!V14</f>
        <v>6.5515004000000001</v>
      </c>
      <c r="AC22" s="230"/>
      <c r="AD22" s="335">
        <f>AB22/SUM(AB$10:AB$12)</f>
        <v>8.1893755000000002E-3</v>
      </c>
    </row>
    <row r="23" spans="1:130" ht="6.6" customHeight="1" x14ac:dyDescent="0.3">
      <c r="C23" s="181"/>
      <c r="D23" s="181"/>
      <c r="E23" s="364"/>
      <c r="F23" s="480"/>
      <c r="G23" s="481"/>
      <c r="H23" s="481"/>
      <c r="I23" s="455"/>
      <c r="K23" s="198"/>
      <c r="L23" s="43"/>
      <c r="M23" s="345"/>
      <c r="N23" s="187"/>
      <c r="O23" s="187"/>
      <c r="P23" s="187"/>
      <c r="Q23" s="187"/>
      <c r="R23" s="482"/>
      <c r="S23" s="483"/>
      <c r="T23" s="484"/>
      <c r="U23" s="220"/>
      <c r="V23" s="220"/>
      <c r="W23" s="220"/>
      <c r="X23" s="220"/>
      <c r="Z23" s="340"/>
      <c r="AB23" s="338"/>
      <c r="AC23" s="230"/>
      <c r="AD23" s="336"/>
    </row>
    <row r="24" spans="1:130" ht="6" customHeight="1" x14ac:dyDescent="0.3">
      <c r="C24" s="181"/>
      <c r="D24" s="181"/>
      <c r="E24" s="365" t="s">
        <v>83</v>
      </c>
      <c r="F24" s="485">
        <v>0.26</v>
      </c>
      <c r="G24" s="486">
        <v>0.4</v>
      </c>
      <c r="H24" s="486">
        <v>0.43</v>
      </c>
      <c r="I24" s="461">
        <v>0.15</v>
      </c>
      <c r="K24" s="198"/>
      <c r="L24" s="43"/>
      <c r="M24" s="345" t="s">
        <v>0</v>
      </c>
      <c r="N24" s="187"/>
      <c r="O24" s="187"/>
      <c r="P24" s="187"/>
      <c r="Q24" s="187"/>
      <c r="R24" s="487">
        <v>0.01</v>
      </c>
      <c r="S24" s="466">
        <v>0.01</v>
      </c>
      <c r="T24" s="479">
        <v>1.4999999999999999E-2</v>
      </c>
      <c r="U24" s="220"/>
      <c r="V24" s="220"/>
      <c r="W24" s="220"/>
      <c r="X24" s="220"/>
      <c r="Z24" s="373" t="s">
        <v>23</v>
      </c>
      <c r="AA24" s="229"/>
      <c r="AB24" s="375">
        <f>Income!V15</f>
        <v>68.075890399999992</v>
      </c>
      <c r="AC24" s="232"/>
      <c r="AD24" s="377">
        <f>AB24/SUM(AB$10:AB$12)</f>
        <v>8.5094862999999993E-2</v>
      </c>
    </row>
    <row r="25" spans="1:130" ht="6.6" customHeight="1" x14ac:dyDescent="0.3">
      <c r="C25" s="181"/>
      <c r="D25" s="181"/>
      <c r="E25" s="365"/>
      <c r="F25" s="480"/>
      <c r="G25" s="481"/>
      <c r="H25" s="481"/>
      <c r="I25" s="455"/>
      <c r="K25" s="198"/>
      <c r="L25" s="43"/>
      <c r="M25" s="345"/>
      <c r="N25" s="187"/>
      <c r="O25" s="187"/>
      <c r="P25" s="187"/>
      <c r="Q25" s="187"/>
      <c r="R25" s="488"/>
      <c r="S25" s="457"/>
      <c r="T25" s="489"/>
      <c r="U25" s="220"/>
      <c r="V25" s="220"/>
      <c r="W25" s="220"/>
      <c r="X25" s="220"/>
      <c r="Z25" s="382"/>
      <c r="AA25" s="301"/>
      <c r="AB25" s="384"/>
      <c r="AC25" s="302"/>
      <c r="AD25" s="380"/>
    </row>
    <row r="26" spans="1:130" ht="6" customHeight="1" x14ac:dyDescent="0.3">
      <c r="C26" s="181"/>
      <c r="D26" s="75"/>
      <c r="E26" s="409" t="s">
        <v>84</v>
      </c>
      <c r="F26" s="485">
        <v>0.3</v>
      </c>
      <c r="G26" s="486">
        <v>0.32</v>
      </c>
      <c r="H26" s="486">
        <v>0.31</v>
      </c>
      <c r="I26" s="461">
        <v>0.6</v>
      </c>
      <c r="K26" s="198"/>
      <c r="L26" s="43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371" t="s">
        <v>195</v>
      </c>
      <c r="AA26" s="227"/>
      <c r="AB26" s="337">
        <f>Income!V16</f>
        <v>2.5</v>
      </c>
      <c r="AC26" s="230"/>
      <c r="AD26" s="335">
        <f>AB26/SUM(AB$10:AB$12)</f>
        <v>3.1250000000000002E-3</v>
      </c>
    </row>
    <row r="27" spans="1:130" ht="6.6" customHeight="1" x14ac:dyDescent="0.3">
      <c r="C27" s="181"/>
      <c r="D27" s="75"/>
      <c r="E27" s="410"/>
      <c r="F27" s="490"/>
      <c r="G27" s="491"/>
      <c r="H27" s="491"/>
      <c r="I27" s="472"/>
      <c r="K27" s="405" t="s">
        <v>77</v>
      </c>
      <c r="L27" s="42"/>
      <c r="M27" s="408" t="s">
        <v>114</v>
      </c>
      <c r="N27" s="344"/>
      <c r="O27" s="344"/>
      <c r="P27" s="344"/>
      <c r="Q27" s="303"/>
      <c r="R27" s="492">
        <v>0.05</v>
      </c>
      <c r="S27" s="493">
        <v>5.6000000000000001E-2</v>
      </c>
      <c r="T27" s="494">
        <v>7.0000000000000007E-2</v>
      </c>
      <c r="U27" s="303"/>
      <c r="V27" s="187"/>
      <c r="W27" s="187"/>
      <c r="X27" s="187"/>
      <c r="Y27" s="12"/>
      <c r="Z27" s="371"/>
      <c r="AA27" s="227"/>
      <c r="AB27" s="337"/>
      <c r="AC27" s="230"/>
      <c r="AD27" s="335"/>
    </row>
    <row r="28" spans="1:130" ht="6" customHeight="1" x14ac:dyDescent="0.3">
      <c r="C28" s="181"/>
      <c r="D28" s="75"/>
      <c r="K28" s="406"/>
      <c r="L28" s="42"/>
      <c r="M28" s="408"/>
      <c r="N28" s="344"/>
      <c r="O28" s="344"/>
      <c r="P28" s="344"/>
      <c r="Q28" s="303"/>
      <c r="R28" s="482"/>
      <c r="S28" s="483"/>
      <c r="T28" s="484"/>
      <c r="U28" s="303"/>
      <c r="V28" s="187"/>
      <c r="W28" s="187"/>
      <c r="X28" s="187"/>
      <c r="Y28" s="12"/>
      <c r="Z28" s="371" t="s">
        <v>194</v>
      </c>
      <c r="AA28" s="227"/>
      <c r="AB28" s="337">
        <f>Income!V17</f>
        <v>5.78864</v>
      </c>
      <c r="AC28" s="230"/>
      <c r="AD28" s="335">
        <f>AB28/SUM(AB$10:AB$12)</f>
        <v>7.2357999999999997E-3</v>
      </c>
      <c r="AF28" s="29"/>
      <c r="AG28" s="29"/>
      <c r="AH28" s="29"/>
      <c r="AI28" s="29"/>
      <c r="AJ28" s="29"/>
      <c r="AK28" s="29"/>
      <c r="AL28" s="29"/>
      <c r="AM28" s="29"/>
      <c r="AN28" s="29"/>
      <c r="AO28" s="29"/>
    </row>
    <row r="29" spans="1:130" ht="6.6" customHeight="1" x14ac:dyDescent="0.3">
      <c r="C29" s="181"/>
      <c r="D29" s="13"/>
      <c r="K29" s="406"/>
      <c r="L29" s="29"/>
      <c r="M29" s="404" t="s">
        <v>115</v>
      </c>
      <c r="N29" s="344"/>
      <c r="O29" s="344"/>
      <c r="P29" s="344"/>
      <c r="Q29" s="189"/>
      <c r="R29" s="487">
        <v>0.04</v>
      </c>
      <c r="S29" s="466">
        <v>0.04</v>
      </c>
      <c r="T29" s="479">
        <v>0.04</v>
      </c>
      <c r="U29" s="303"/>
      <c r="V29" s="187"/>
      <c r="W29" s="187"/>
      <c r="X29" s="187"/>
      <c r="Y29" s="12"/>
      <c r="Z29" s="372"/>
      <c r="AA29" s="227"/>
      <c r="AB29" s="338"/>
      <c r="AC29" s="230"/>
      <c r="AD29" s="336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130" ht="6" customHeight="1" x14ac:dyDescent="0.3">
      <c r="K30" s="406"/>
      <c r="L30" s="304"/>
      <c r="M30" s="404"/>
      <c r="N30" s="344"/>
      <c r="O30" s="344"/>
      <c r="P30" s="344"/>
      <c r="Q30" s="303"/>
      <c r="R30" s="482"/>
      <c r="S30" s="483"/>
      <c r="T30" s="484"/>
      <c r="U30" s="303"/>
      <c r="V30" s="187"/>
      <c r="W30" s="187"/>
      <c r="X30" s="187"/>
      <c r="Z30" s="373" t="s">
        <v>24</v>
      </c>
      <c r="AA30" s="229"/>
      <c r="AB30" s="375">
        <f>Income!V18</f>
        <v>8.2886400000000009</v>
      </c>
      <c r="AC30" s="232"/>
      <c r="AD30" s="377">
        <f>AB30/SUM(AB$10:AB$12)</f>
        <v>1.0360800000000002E-2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spans="1:130" ht="6.6" customHeight="1" x14ac:dyDescent="0.3">
      <c r="E31" s="413" t="s">
        <v>124</v>
      </c>
      <c r="F31" s="414" t="s">
        <v>77</v>
      </c>
      <c r="G31" s="414" t="s">
        <v>77</v>
      </c>
      <c r="H31" s="414" t="s">
        <v>77</v>
      </c>
      <c r="I31" s="411" t="s">
        <v>76</v>
      </c>
      <c r="K31" s="406"/>
      <c r="L31" s="43"/>
      <c r="M31" s="403" t="s">
        <v>116</v>
      </c>
      <c r="N31" s="344"/>
      <c r="O31" s="344"/>
      <c r="P31" s="344"/>
      <c r="Q31" s="303"/>
      <c r="R31" s="495">
        <v>6</v>
      </c>
      <c r="S31" s="496">
        <v>6</v>
      </c>
      <c r="T31" s="497">
        <v>6</v>
      </c>
      <c r="U31" s="303"/>
      <c r="V31" s="187"/>
      <c r="W31" s="187"/>
      <c r="X31" s="187"/>
      <c r="Z31" s="382"/>
      <c r="AA31" s="301"/>
      <c r="AB31" s="384"/>
      <c r="AC31" s="302"/>
      <c r="AD31" s="379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130" ht="6" customHeight="1" x14ac:dyDescent="0.3">
      <c r="E32" s="413"/>
      <c r="F32" s="317"/>
      <c r="G32" s="317"/>
      <c r="H32" s="317"/>
      <c r="I32" s="412"/>
      <c r="K32" s="407"/>
      <c r="M32" s="403"/>
      <c r="N32" s="344"/>
      <c r="O32" s="344"/>
      <c r="P32" s="344"/>
      <c r="Q32" s="303"/>
      <c r="R32" s="498"/>
      <c r="S32" s="499"/>
      <c r="T32" s="500"/>
      <c r="U32" s="303"/>
      <c r="V32" s="187"/>
      <c r="W32" s="187"/>
      <c r="X32" s="187"/>
      <c r="Z32" s="382" t="s">
        <v>30</v>
      </c>
      <c r="AA32" s="229"/>
      <c r="AB32" s="384">
        <f>Income!V19</f>
        <v>59.787250399999991</v>
      </c>
      <c r="AC32" s="232"/>
      <c r="AD32" s="380">
        <f>AB32/SUM(AB$10:AB$12)</f>
        <v>7.4734062999999989E-2</v>
      </c>
    </row>
    <row r="33" spans="1:130" ht="6.6" customHeight="1" x14ac:dyDescent="0.3">
      <c r="C33" s="13"/>
      <c r="E33" s="413" t="s">
        <v>125</v>
      </c>
      <c r="F33" s="359" t="s">
        <v>5</v>
      </c>
      <c r="G33" s="359" t="s">
        <v>5</v>
      </c>
      <c r="H33" s="361" t="s">
        <v>4</v>
      </c>
      <c r="I33" s="361" t="s">
        <v>4</v>
      </c>
      <c r="N33" s="75"/>
      <c r="O33" s="75"/>
      <c r="P33" s="30"/>
      <c r="Q33" s="30"/>
      <c r="R33" s="30"/>
      <c r="S33" s="30"/>
      <c r="T33" s="30"/>
      <c r="U33" s="193"/>
      <c r="V33" s="193"/>
      <c r="W33" s="193"/>
      <c r="X33" s="193"/>
      <c r="Z33" s="382"/>
      <c r="AA33" s="301"/>
      <c r="AB33" s="384"/>
      <c r="AC33" s="302"/>
      <c r="AD33" s="380"/>
    </row>
    <row r="34" spans="1:130" ht="6" customHeight="1" x14ac:dyDescent="0.2">
      <c r="B34" s="18"/>
      <c r="E34" s="413"/>
      <c r="F34" s="359"/>
      <c r="G34" s="359"/>
      <c r="H34" s="361"/>
      <c r="I34" s="361"/>
      <c r="K34" s="397" t="s">
        <v>76</v>
      </c>
      <c r="M34" s="401" t="s">
        <v>117</v>
      </c>
      <c r="N34" s="439">
        <v>0.06</v>
      </c>
      <c r="O34" s="442">
        <v>6.5000000000000002E-2</v>
      </c>
      <c r="P34" s="494">
        <v>7.4999999999999997E-2</v>
      </c>
      <c r="Q34" s="303"/>
      <c r="R34" s="393"/>
      <c r="S34" s="393"/>
      <c r="T34" s="393"/>
      <c r="U34" s="303"/>
      <c r="V34" s="393"/>
      <c r="W34" s="393"/>
      <c r="X34" s="393"/>
      <c r="Z34" s="371" t="s">
        <v>197</v>
      </c>
      <c r="AA34" s="227"/>
      <c r="AB34" s="385">
        <f>Income!V20</f>
        <v>37.14096</v>
      </c>
      <c r="AC34" s="230"/>
      <c r="AD34" s="381">
        <f>AB34/SUM(AB$10:AB$12)</f>
        <v>4.6426200000000001E-2</v>
      </c>
    </row>
    <row r="35" spans="1:130" ht="6.6" customHeight="1" x14ac:dyDescent="0.2">
      <c r="B35" s="18"/>
      <c r="F35" s="415" t="s">
        <v>1</v>
      </c>
      <c r="G35" s="417" t="s">
        <v>36</v>
      </c>
      <c r="H35" s="391" t="s">
        <v>27</v>
      </c>
      <c r="I35" s="391" t="s">
        <v>27</v>
      </c>
      <c r="K35" s="398"/>
      <c r="M35" s="401"/>
      <c r="N35" s="440"/>
      <c r="O35" s="501"/>
      <c r="P35" s="484"/>
      <c r="Q35" s="303"/>
      <c r="R35" s="393"/>
      <c r="S35" s="393"/>
      <c r="T35" s="393"/>
      <c r="U35" s="303"/>
      <c r="V35" s="393"/>
      <c r="W35" s="393"/>
      <c r="X35" s="393"/>
      <c r="Z35" s="371"/>
      <c r="AA35" s="227"/>
      <c r="AB35" s="385"/>
      <c r="AC35" s="230"/>
      <c r="AD35" s="381"/>
    </row>
    <row r="36" spans="1:130" ht="6" customHeight="1" x14ac:dyDescent="0.2">
      <c r="B36" s="18"/>
      <c r="F36" s="416"/>
      <c r="G36" s="418"/>
      <c r="H36" s="392"/>
      <c r="I36" s="392"/>
      <c r="K36" s="398"/>
      <c r="M36" s="401" t="s">
        <v>118</v>
      </c>
      <c r="N36" s="477">
        <v>0.08</v>
      </c>
      <c r="O36" s="466">
        <v>0.08</v>
      </c>
      <c r="P36" s="479">
        <v>8.5000000000000006E-2</v>
      </c>
      <c r="Q36" s="303"/>
      <c r="R36" s="393"/>
      <c r="S36" s="393"/>
      <c r="T36" s="393"/>
      <c r="U36" s="191"/>
      <c r="V36" s="393"/>
      <c r="W36" s="393"/>
      <c r="X36" s="393"/>
      <c r="Z36" s="383" t="s">
        <v>198</v>
      </c>
      <c r="AA36" s="227"/>
      <c r="AB36" s="385">
        <f>Income!V21</f>
        <v>6.78</v>
      </c>
      <c r="AC36" s="230"/>
      <c r="AD36" s="381">
        <f>AB36/SUM(AB$10:AB$12)</f>
        <v>8.4749999999999999E-3</v>
      </c>
    </row>
    <row r="37" spans="1:130" ht="6.6" customHeight="1" x14ac:dyDescent="0.2">
      <c r="B37" s="18"/>
      <c r="C37" s="18"/>
      <c r="E37" s="404" t="s">
        <v>109</v>
      </c>
      <c r="F37" s="394" t="s">
        <v>7</v>
      </c>
      <c r="G37" s="394" t="s">
        <v>8</v>
      </c>
      <c r="H37" s="394" t="s">
        <v>11</v>
      </c>
      <c r="I37" s="394" t="s">
        <v>6</v>
      </c>
      <c r="K37" s="398"/>
      <c r="M37" s="401"/>
      <c r="N37" s="482"/>
      <c r="O37" s="483"/>
      <c r="P37" s="484"/>
      <c r="Q37" s="303"/>
      <c r="R37" s="393"/>
      <c r="S37" s="393"/>
      <c r="T37" s="393"/>
      <c r="U37" s="303"/>
      <c r="V37" s="393"/>
      <c r="W37" s="393"/>
      <c r="X37" s="393"/>
      <c r="Z37" s="383"/>
      <c r="AA37" s="227"/>
      <c r="AB37" s="385"/>
      <c r="AC37" s="230"/>
      <c r="AD37" s="381"/>
    </row>
    <row r="38" spans="1:130" ht="6" customHeight="1" x14ac:dyDescent="0.25">
      <c r="B38" s="18"/>
      <c r="E38" s="404"/>
      <c r="F38" s="395"/>
      <c r="G38" s="395"/>
      <c r="H38" s="395"/>
      <c r="I38" s="395"/>
      <c r="J38" s="13"/>
      <c r="K38" s="398"/>
      <c r="M38" s="401" t="s">
        <v>119</v>
      </c>
      <c r="N38" s="487">
        <v>0.08</v>
      </c>
      <c r="O38" s="466">
        <v>0.08</v>
      </c>
      <c r="P38" s="479">
        <v>0.08</v>
      </c>
      <c r="Q38" s="188"/>
      <c r="R38" s="393"/>
      <c r="S38" s="393"/>
      <c r="T38" s="393"/>
      <c r="U38" s="305"/>
      <c r="V38" s="393"/>
      <c r="W38" s="393"/>
      <c r="X38" s="393"/>
      <c r="Z38" s="371" t="s">
        <v>199</v>
      </c>
      <c r="AA38" s="227"/>
      <c r="AB38" s="337">
        <f>Income!V22</f>
        <v>9</v>
      </c>
      <c r="AC38" s="230"/>
      <c r="AD38" s="335">
        <f>AB38/SUM(AB$10:AB$12)</f>
        <v>1.125E-2</v>
      </c>
    </row>
    <row r="39" spans="1:130" ht="6.6" customHeight="1" x14ac:dyDescent="0.2">
      <c r="B39" s="18"/>
      <c r="E39" s="404"/>
      <c r="F39" s="396"/>
      <c r="G39" s="396"/>
      <c r="H39" s="396"/>
      <c r="I39" s="396"/>
      <c r="K39" s="398"/>
      <c r="M39" s="402"/>
      <c r="N39" s="488"/>
      <c r="O39" s="457"/>
      <c r="P39" s="489"/>
      <c r="Q39" s="303"/>
      <c r="R39" s="400"/>
      <c r="S39" s="400"/>
      <c r="T39" s="400"/>
      <c r="U39" s="303"/>
      <c r="V39" s="400"/>
      <c r="W39" s="400"/>
      <c r="X39" s="400"/>
      <c r="Z39" s="372"/>
      <c r="AA39" s="227"/>
      <c r="AB39" s="338"/>
      <c r="AC39" s="230"/>
      <c r="AD39" s="336"/>
    </row>
    <row r="40" spans="1:130" ht="6" customHeight="1" x14ac:dyDescent="0.25">
      <c r="E40" s="401" t="s">
        <v>96</v>
      </c>
      <c r="F40" s="437">
        <v>8</v>
      </c>
      <c r="G40" s="502">
        <v>4</v>
      </c>
      <c r="H40" s="503">
        <v>15</v>
      </c>
      <c r="I40" s="504">
        <v>35</v>
      </c>
      <c r="K40" s="398"/>
      <c r="M40" s="386" t="s">
        <v>120</v>
      </c>
      <c r="N40" s="390"/>
      <c r="O40" s="390"/>
      <c r="P40" s="390"/>
      <c r="Q40" s="188"/>
      <c r="R40" s="492">
        <v>1.2E-2</v>
      </c>
      <c r="S40" s="493">
        <v>1.2E-2</v>
      </c>
      <c r="T40" s="494">
        <v>1.0999999999999999E-2</v>
      </c>
      <c r="U40" s="192"/>
      <c r="V40" s="492">
        <v>1.2E-2</v>
      </c>
      <c r="W40" s="493">
        <v>1.2E-2</v>
      </c>
      <c r="X40" s="494">
        <v>1.0999999999999999E-2</v>
      </c>
      <c r="Z40" s="373" t="s">
        <v>26</v>
      </c>
      <c r="AA40" s="229"/>
      <c r="AB40" s="375">
        <f>Income!V23</f>
        <v>52.920960000000001</v>
      </c>
      <c r="AC40" s="232"/>
      <c r="AD40" s="377">
        <f>AB40/SUM(AB$10:AB$12)</f>
        <v>6.6151200000000007E-2</v>
      </c>
    </row>
    <row r="41" spans="1:130" ht="6.6" customHeight="1" x14ac:dyDescent="0.25">
      <c r="D41" s="12"/>
      <c r="E41" s="401"/>
      <c r="F41" s="438"/>
      <c r="G41" s="505"/>
      <c r="H41" s="506"/>
      <c r="I41" s="507"/>
      <c r="K41" s="398"/>
      <c r="M41" s="345"/>
      <c r="N41" s="344"/>
      <c r="O41" s="344"/>
      <c r="P41" s="344"/>
      <c r="Q41" s="303"/>
      <c r="R41" s="482"/>
      <c r="S41" s="483"/>
      <c r="T41" s="484"/>
      <c r="U41" s="306"/>
      <c r="V41" s="482"/>
      <c r="W41" s="483"/>
      <c r="X41" s="508"/>
      <c r="Z41" s="374"/>
      <c r="AA41" s="301"/>
      <c r="AB41" s="376"/>
      <c r="AC41" s="302"/>
      <c r="AD41" s="378"/>
    </row>
    <row r="42" spans="1:130" ht="6" customHeight="1" x14ac:dyDescent="0.25">
      <c r="D42" s="12"/>
      <c r="E42" s="401" t="s">
        <v>140</v>
      </c>
      <c r="F42" s="509">
        <v>60</v>
      </c>
      <c r="G42" s="510">
        <v>300</v>
      </c>
      <c r="H42" s="511">
        <v>60</v>
      </c>
      <c r="I42" s="512">
        <v>120</v>
      </c>
      <c r="K42" s="398"/>
      <c r="M42" s="345" t="s">
        <v>121</v>
      </c>
      <c r="N42" s="344"/>
      <c r="O42" s="344"/>
      <c r="P42" s="344"/>
      <c r="Q42" s="188"/>
      <c r="R42" s="487">
        <v>8.9999999999999993E-3</v>
      </c>
      <c r="S42" s="466">
        <v>8.9999999999999993E-3</v>
      </c>
      <c r="T42" s="479">
        <v>8.9999999999999993E-3</v>
      </c>
      <c r="U42" s="192"/>
      <c r="V42" s="487">
        <v>8.9999999999999993E-3</v>
      </c>
      <c r="W42" s="513">
        <v>8.9999999999999993E-3</v>
      </c>
      <c r="X42" s="439">
        <v>8.9999999999999993E-3</v>
      </c>
      <c r="Z42" s="387" t="s">
        <v>9</v>
      </c>
      <c r="AA42" s="229"/>
      <c r="AB42" s="388">
        <f>Income!V24</f>
        <v>6.8662903999999898</v>
      </c>
      <c r="AC42" s="232"/>
      <c r="AD42" s="389">
        <f>AB42/SUM(AB$10:AB$12)</f>
        <v>8.5828629999999875E-3</v>
      </c>
      <c r="AF42" s="12"/>
      <c r="AG42" s="12"/>
      <c r="AH42" s="12"/>
      <c r="AI42" s="12"/>
      <c r="AJ42" s="12"/>
      <c r="AK42" s="12"/>
      <c r="AL42" s="12"/>
      <c r="AM42" s="12"/>
      <c r="AN42" s="12"/>
    </row>
    <row r="43" spans="1:130" ht="6.6" customHeight="1" x14ac:dyDescent="0.25">
      <c r="C43" s="346" t="s">
        <v>214</v>
      </c>
      <c r="E43" s="401"/>
      <c r="F43" s="514"/>
      <c r="G43" s="514"/>
      <c r="H43" s="515"/>
      <c r="I43" s="516"/>
      <c r="J43" s="12"/>
      <c r="K43" s="398"/>
      <c r="M43" s="345"/>
      <c r="N43" s="344"/>
      <c r="O43" s="344"/>
      <c r="P43" s="344"/>
      <c r="Q43" s="190"/>
      <c r="R43" s="482"/>
      <c r="S43" s="483"/>
      <c r="T43" s="484"/>
      <c r="U43" s="306"/>
      <c r="V43" s="482"/>
      <c r="W43" s="517"/>
      <c r="X43" s="440"/>
      <c r="Z43" s="382"/>
      <c r="AA43" s="301"/>
      <c r="AB43" s="384"/>
      <c r="AC43" s="302"/>
      <c r="AD43" s="379"/>
      <c r="AE43" s="12"/>
      <c r="AG43" s="12"/>
      <c r="AH43" s="12"/>
      <c r="AI43" s="12"/>
      <c r="AJ43" s="12"/>
      <c r="AK43" s="12"/>
      <c r="AL43" s="12"/>
      <c r="AM43" s="12"/>
      <c r="AN43" s="12"/>
    </row>
    <row r="44" spans="1:130" s="12" customFormat="1" ht="6" customHeight="1" x14ac:dyDescent="0.3">
      <c r="A44" s="18"/>
      <c r="B44" s="16"/>
      <c r="C44" s="347"/>
      <c r="E44" s="401" t="s">
        <v>141</v>
      </c>
      <c r="F44" s="518">
        <v>3000</v>
      </c>
      <c r="G44" s="437">
        <v>2500</v>
      </c>
      <c r="H44" s="502">
        <v>1500</v>
      </c>
      <c r="I44" s="504">
        <v>2000</v>
      </c>
      <c r="K44" s="398"/>
      <c r="L44" s="43"/>
      <c r="M44" s="345" t="s">
        <v>122</v>
      </c>
      <c r="N44" s="344"/>
      <c r="O44" s="344"/>
      <c r="P44" s="344"/>
      <c r="Q44" s="188"/>
      <c r="R44" s="519">
        <v>4</v>
      </c>
      <c r="S44" s="520">
        <v>4</v>
      </c>
      <c r="T44" s="521">
        <v>4</v>
      </c>
      <c r="U44" s="192"/>
      <c r="V44" s="519">
        <v>2</v>
      </c>
      <c r="W44" s="520">
        <v>3</v>
      </c>
      <c r="X44" s="522">
        <v>2.5</v>
      </c>
      <c r="Y44" s="13"/>
      <c r="Z44" s="371" t="s">
        <v>31</v>
      </c>
      <c r="AA44" s="227"/>
      <c r="AB44" s="381">
        <f>Income!V25</f>
        <v>0.1009622929447573</v>
      </c>
      <c r="AC44" s="230"/>
      <c r="AD44" s="233"/>
      <c r="BI44" s="13"/>
      <c r="BJ44" s="14"/>
      <c r="BK44" s="23"/>
      <c r="BL44" s="23"/>
      <c r="BM44" s="23"/>
      <c r="BN44" s="23"/>
      <c r="BO44" s="23"/>
      <c r="BP44" s="23"/>
      <c r="BQ44" s="23"/>
      <c r="BR44" s="14"/>
      <c r="BS44" s="14"/>
      <c r="BT44" s="14"/>
      <c r="BU44" s="14"/>
      <c r="BV44" s="14"/>
      <c r="BW44" s="14"/>
      <c r="BX44" s="14"/>
      <c r="BY44" s="14"/>
      <c r="BZ44" s="23"/>
      <c r="CA44" s="23"/>
      <c r="CB44" s="23"/>
      <c r="CC44" s="23"/>
      <c r="CD44" s="23"/>
      <c r="CE44" s="246"/>
      <c r="CF44" s="23"/>
      <c r="CG44" s="23"/>
      <c r="CH44" s="23"/>
      <c r="CI44" s="23"/>
      <c r="CJ44" s="23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</row>
    <row r="45" spans="1:130" s="12" customFormat="1" ht="6.6" customHeight="1" x14ac:dyDescent="0.2">
      <c r="A45" s="18"/>
      <c r="B45" s="16"/>
      <c r="C45" s="348"/>
      <c r="E45" s="401"/>
      <c r="F45" s="523"/>
      <c r="G45" s="438"/>
      <c r="H45" s="514"/>
      <c r="I45" s="516"/>
      <c r="K45" s="399"/>
      <c r="L45" s="43"/>
      <c r="M45" s="345"/>
      <c r="N45" s="344"/>
      <c r="O45" s="344"/>
      <c r="P45" s="344"/>
      <c r="Q45" s="303"/>
      <c r="R45" s="524"/>
      <c r="S45" s="525"/>
      <c r="T45" s="526"/>
      <c r="U45" s="307"/>
      <c r="V45" s="524"/>
      <c r="W45" s="525"/>
      <c r="X45" s="526"/>
      <c r="Y45" s="13"/>
      <c r="Z45" s="371"/>
      <c r="AA45" s="227"/>
      <c r="AB45" s="381"/>
      <c r="AC45" s="230"/>
      <c r="AD45" s="234"/>
      <c r="AG45" s="13"/>
      <c r="AH45" s="13"/>
      <c r="AI45" s="13"/>
      <c r="AJ45" s="13"/>
      <c r="AK45" s="13"/>
      <c r="AL45" s="13"/>
      <c r="AM45" s="13"/>
      <c r="AN45" s="13"/>
      <c r="BI45" s="13"/>
      <c r="BJ45" s="14"/>
      <c r="BK45" s="23"/>
      <c r="BL45" s="23"/>
      <c r="BM45" s="23"/>
      <c r="BN45" s="23"/>
      <c r="BO45" s="23"/>
      <c r="BP45" s="23"/>
      <c r="BQ45" s="23"/>
      <c r="BR45" s="14"/>
      <c r="BS45" s="14"/>
      <c r="BT45" s="14"/>
      <c r="BU45" s="14"/>
      <c r="BV45" s="14"/>
      <c r="BW45" s="14"/>
      <c r="BX45" s="14"/>
      <c r="BY45" s="14"/>
      <c r="BZ45" s="23"/>
      <c r="CA45" s="23"/>
      <c r="CB45" s="23"/>
      <c r="CC45" s="23"/>
      <c r="CD45" s="23"/>
      <c r="CE45" s="246"/>
      <c r="CF45" s="23"/>
      <c r="CG45" s="23"/>
      <c r="CH45" s="23"/>
      <c r="CI45" s="23"/>
      <c r="CJ45" s="23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</row>
  </sheetData>
  <sheetProtection algorithmName="SHA-512" hashValue="Y0yBhRJjkk1nN2GmKLPor5F+FiTNcFgZa7+bGvfJ25Y4DYgT2q3UfT2igkVsx+r6a5bvgTyfB1K09rjvSvzFaA==" saltValue="VM6OzwiribBEOPAgELlSXQ==" spinCount="100000" sheet="1" objects="1" scenarios="1" selectLockedCells="1"/>
  <mergeCells count="249">
    <mergeCell ref="CF6:CK6"/>
    <mergeCell ref="R31:R32"/>
    <mergeCell ref="S31:S32"/>
    <mergeCell ref="T31:T32"/>
    <mergeCell ref="Z28:Z29"/>
    <mergeCell ref="AB28:AB29"/>
    <mergeCell ref="R20:R21"/>
    <mergeCell ref="S20:S21"/>
    <mergeCell ref="T20:T21"/>
    <mergeCell ref="Z24:Z25"/>
    <mergeCell ref="AB24:AB25"/>
    <mergeCell ref="AD24:AD25"/>
    <mergeCell ref="T29:T30"/>
    <mergeCell ref="S29:S30"/>
    <mergeCell ref="R29:R30"/>
    <mergeCell ref="Z26:Z27"/>
    <mergeCell ref="AB26:AB27"/>
    <mergeCell ref="AD26:AD27"/>
    <mergeCell ref="AD28:AD29"/>
    <mergeCell ref="R24:R25"/>
    <mergeCell ref="S24:S25"/>
    <mergeCell ref="T24:T25"/>
    <mergeCell ref="AB8:AB9"/>
    <mergeCell ref="AD8:AD9"/>
    <mergeCell ref="DT6:DU6"/>
    <mergeCell ref="DT13:DV13"/>
    <mergeCell ref="DM6:DN6"/>
    <mergeCell ref="DM13:DO13"/>
    <mergeCell ref="DE13:DG13"/>
    <mergeCell ref="CP6:CS6"/>
    <mergeCell ref="DA6:DC6"/>
    <mergeCell ref="CU6:CY6"/>
    <mergeCell ref="DE6:DF6"/>
    <mergeCell ref="E26:E27"/>
    <mergeCell ref="F26:F27"/>
    <mergeCell ref="G26:G27"/>
    <mergeCell ref="F33:F34"/>
    <mergeCell ref="G33:G34"/>
    <mergeCell ref="H26:H27"/>
    <mergeCell ref="I26:I27"/>
    <mergeCell ref="I31:I32"/>
    <mergeCell ref="E44:E45"/>
    <mergeCell ref="E42:E43"/>
    <mergeCell ref="E31:E32"/>
    <mergeCell ref="H31:H32"/>
    <mergeCell ref="G42:G43"/>
    <mergeCell ref="H42:H43"/>
    <mergeCell ref="E40:E41"/>
    <mergeCell ref="E37:E39"/>
    <mergeCell ref="E33:E34"/>
    <mergeCell ref="F31:F32"/>
    <mergeCell ref="G31:G32"/>
    <mergeCell ref="F42:F43"/>
    <mergeCell ref="H33:H34"/>
    <mergeCell ref="I33:I34"/>
    <mergeCell ref="F35:F36"/>
    <mergeCell ref="G35:G36"/>
    <mergeCell ref="K27:K32"/>
    <mergeCell ref="T27:T28"/>
    <mergeCell ref="S27:S28"/>
    <mergeCell ref="R27:R28"/>
    <mergeCell ref="N36:N37"/>
    <mergeCell ref="O36:O37"/>
    <mergeCell ref="M27:M28"/>
    <mergeCell ref="N27:P28"/>
    <mergeCell ref="N29:P30"/>
    <mergeCell ref="N31:P32"/>
    <mergeCell ref="N34:N35"/>
    <mergeCell ref="O34:O35"/>
    <mergeCell ref="P34:P35"/>
    <mergeCell ref="N16:N17"/>
    <mergeCell ref="O16:O17"/>
    <mergeCell ref="P16:P17"/>
    <mergeCell ref="M16:M17"/>
    <mergeCell ref="M18:M19"/>
    <mergeCell ref="M22:M23"/>
    <mergeCell ref="M24:M25"/>
    <mergeCell ref="M31:M32"/>
    <mergeCell ref="P36:P37"/>
    <mergeCell ref="M34:M35"/>
    <mergeCell ref="M29:M30"/>
    <mergeCell ref="N38:N39"/>
    <mergeCell ref="O38:O39"/>
    <mergeCell ref="P38:P39"/>
    <mergeCell ref="V44:V45"/>
    <mergeCell ref="W44:W45"/>
    <mergeCell ref="X40:X41"/>
    <mergeCell ref="R42:R43"/>
    <mergeCell ref="S42:S43"/>
    <mergeCell ref="T42:T43"/>
    <mergeCell ref="V42:V43"/>
    <mergeCell ref="W42:W43"/>
    <mergeCell ref="X42:X43"/>
    <mergeCell ref="R40:R41"/>
    <mergeCell ref="S40:S41"/>
    <mergeCell ref="T40:T41"/>
    <mergeCell ref="V40:V41"/>
    <mergeCell ref="W40:W41"/>
    <mergeCell ref="H35:H36"/>
    <mergeCell ref="I35:I36"/>
    <mergeCell ref="V36:X37"/>
    <mergeCell ref="I37:I39"/>
    <mergeCell ref="H37:H39"/>
    <mergeCell ref="G37:G39"/>
    <mergeCell ref="F37:F39"/>
    <mergeCell ref="K34:K45"/>
    <mergeCell ref="R34:T35"/>
    <mergeCell ref="R36:T37"/>
    <mergeCell ref="R38:T39"/>
    <mergeCell ref="V34:X35"/>
    <mergeCell ref="X44:X45"/>
    <mergeCell ref="M44:M45"/>
    <mergeCell ref="M36:M37"/>
    <mergeCell ref="M38:M39"/>
    <mergeCell ref="V38:X39"/>
    <mergeCell ref="I44:I45"/>
    <mergeCell ref="H44:H45"/>
    <mergeCell ref="F44:F45"/>
    <mergeCell ref="G44:G45"/>
    <mergeCell ref="F40:F41"/>
    <mergeCell ref="G40:G41"/>
    <mergeCell ref="H40:H41"/>
    <mergeCell ref="I40:I41"/>
    <mergeCell ref="M42:M43"/>
    <mergeCell ref="M40:M41"/>
    <mergeCell ref="I42:I43"/>
    <mergeCell ref="Z42:Z43"/>
    <mergeCell ref="AB42:AB43"/>
    <mergeCell ref="AD42:AD43"/>
    <mergeCell ref="Z44:Z45"/>
    <mergeCell ref="AB44:AB45"/>
    <mergeCell ref="N40:P41"/>
    <mergeCell ref="N42:P43"/>
    <mergeCell ref="N44:P45"/>
    <mergeCell ref="R44:R45"/>
    <mergeCell ref="S44:S45"/>
    <mergeCell ref="T44:T45"/>
    <mergeCell ref="Z38:Z39"/>
    <mergeCell ref="AB38:AB39"/>
    <mergeCell ref="AD38:AD39"/>
    <mergeCell ref="Z40:Z41"/>
    <mergeCell ref="AB40:AB41"/>
    <mergeCell ref="AD40:AD41"/>
    <mergeCell ref="AD30:AD31"/>
    <mergeCell ref="AD32:AD33"/>
    <mergeCell ref="AD34:AD35"/>
    <mergeCell ref="AD36:AD37"/>
    <mergeCell ref="Z30:Z31"/>
    <mergeCell ref="Z32:Z33"/>
    <mergeCell ref="Z34:Z35"/>
    <mergeCell ref="Z36:Z37"/>
    <mergeCell ref="AB30:AB31"/>
    <mergeCell ref="AB32:AB33"/>
    <mergeCell ref="AB34:AB35"/>
    <mergeCell ref="AB36:AB37"/>
    <mergeCell ref="F14:F15"/>
    <mergeCell ref="G14:G15"/>
    <mergeCell ref="H14:H15"/>
    <mergeCell ref="I14:I15"/>
    <mergeCell ref="E14:E15"/>
    <mergeCell ref="N14:N15"/>
    <mergeCell ref="M14:M15"/>
    <mergeCell ref="O14:O15"/>
    <mergeCell ref="P14:P15"/>
    <mergeCell ref="I16:I17"/>
    <mergeCell ref="E18:E19"/>
    <mergeCell ref="F18:F19"/>
    <mergeCell ref="G18:G19"/>
    <mergeCell ref="H18:H19"/>
    <mergeCell ref="I18:I19"/>
    <mergeCell ref="E20:E21"/>
    <mergeCell ref="F20:F21"/>
    <mergeCell ref="G20:G21"/>
    <mergeCell ref="H20:H21"/>
    <mergeCell ref="I20:I21"/>
    <mergeCell ref="E16:E17"/>
    <mergeCell ref="F16:F17"/>
    <mergeCell ref="G16:G17"/>
    <mergeCell ref="H16:H17"/>
    <mergeCell ref="E22:E23"/>
    <mergeCell ref="F22:F23"/>
    <mergeCell ref="F24:F25"/>
    <mergeCell ref="G24:G25"/>
    <mergeCell ref="H24:H25"/>
    <mergeCell ref="I24:I25"/>
    <mergeCell ref="E24:E25"/>
    <mergeCell ref="G22:G23"/>
    <mergeCell ref="H22:H23"/>
    <mergeCell ref="I22:I23"/>
    <mergeCell ref="Z12:Z13"/>
    <mergeCell ref="AB12:AB13"/>
    <mergeCell ref="AD12:AD13"/>
    <mergeCell ref="R14:R15"/>
    <mergeCell ref="S14:S15"/>
    <mergeCell ref="T14:T15"/>
    <mergeCell ref="M20:M21"/>
    <mergeCell ref="C43:C45"/>
    <mergeCell ref="AB10:AB11"/>
    <mergeCell ref="AD10:AD11"/>
    <mergeCell ref="X11:X12"/>
    <mergeCell ref="W11:W12"/>
    <mergeCell ref="V11:V12"/>
    <mergeCell ref="N11:N12"/>
    <mergeCell ref="O11:O12"/>
    <mergeCell ref="P11:P12"/>
    <mergeCell ref="R11:R12"/>
    <mergeCell ref="S11:S12"/>
    <mergeCell ref="T11:T12"/>
    <mergeCell ref="F11:F12"/>
    <mergeCell ref="G11:G12"/>
    <mergeCell ref="H11:H12"/>
    <mergeCell ref="I11:I12"/>
    <mergeCell ref="Z14:Z15"/>
    <mergeCell ref="AD14:AD15"/>
    <mergeCell ref="AD16:AD17"/>
    <mergeCell ref="AD18:AD19"/>
    <mergeCell ref="AD20:AD21"/>
    <mergeCell ref="AD22:AD23"/>
    <mergeCell ref="AB20:AB21"/>
    <mergeCell ref="AB22:AB23"/>
    <mergeCell ref="R18:R19"/>
    <mergeCell ref="S18:S19"/>
    <mergeCell ref="T18:T19"/>
    <mergeCell ref="R22:R23"/>
    <mergeCell ref="S22:S23"/>
    <mergeCell ref="T22:T23"/>
    <mergeCell ref="Z16:Z17"/>
    <mergeCell ref="Z18:Z19"/>
    <mergeCell ref="Z20:Z21"/>
    <mergeCell ref="Z22:Z23"/>
    <mergeCell ref="AB14:AB15"/>
    <mergeCell ref="AB16:AB17"/>
    <mergeCell ref="AB18:AB19"/>
    <mergeCell ref="C4:C5"/>
    <mergeCell ref="E7:E8"/>
    <mergeCell ref="C7:C8"/>
    <mergeCell ref="F7:F8"/>
    <mergeCell ref="G7:G8"/>
    <mergeCell ref="H7:H8"/>
    <mergeCell ref="I7:I8"/>
    <mergeCell ref="Z7:Z8"/>
    <mergeCell ref="F9:F10"/>
    <mergeCell ref="G9:G10"/>
    <mergeCell ref="H9:H10"/>
    <mergeCell ref="I9:I10"/>
    <mergeCell ref="R7:T10"/>
    <mergeCell ref="V7:X10"/>
    <mergeCell ref="Z10:Z11"/>
    <mergeCell ref="K7:M8"/>
  </mergeCells>
  <conditionalFormatting sqref="F16:I17">
    <cfRule type="expression" dxfId="6" priority="9">
      <formula>IF(SUM(F16:F20)&lt;&gt;1,TRUE,FALSE)</formula>
    </cfRule>
  </conditionalFormatting>
  <conditionalFormatting sqref="F18:I19">
    <cfRule type="expression" dxfId="5" priority="8">
      <formula>IF(SUM(F16:F20)&lt;&gt;1,TRUE,FALSE)</formula>
    </cfRule>
  </conditionalFormatting>
  <conditionalFormatting sqref="F20:I20">
    <cfRule type="expression" dxfId="4" priority="10">
      <formula>IF(SUM(F16:F20)&lt;&gt;1,TRUE,FALSE)</formula>
    </cfRule>
  </conditionalFormatting>
  <conditionalFormatting sqref="F22:I23">
    <cfRule type="expression" dxfId="3" priority="2">
      <formula>IF(SUM(F22:F26)&lt;&gt;1,TRUE,FALSE)</formula>
    </cfRule>
  </conditionalFormatting>
  <conditionalFormatting sqref="F24:I25">
    <cfRule type="expression" dxfId="2" priority="1">
      <formula>IF(SUM(F22:F26)&lt;&gt;1,TRUE,FALSE)</formula>
    </cfRule>
  </conditionalFormatting>
  <conditionalFormatting sqref="F26:I26">
    <cfRule type="expression" dxfId="1" priority="3">
      <formula>IF(SUM(F22:F26)&lt;&gt;1,TRUE,FALSE)</formula>
    </cfRule>
  </conditionalFormatting>
  <printOptions horizontalCentered="1"/>
  <pageMargins left="0.5" right="0.5" top="0.75" bottom="0.5" header="0.3" footer="0.3"/>
  <pageSetup scale="72" orientation="landscape" horizontalDpi="1200" verticalDpi="1200" r:id="rId1"/>
  <headerFooter scaleWithDoc="0" alignWithMargins="0">
    <oddFooter>&amp;L&amp;10Banking Strategy - Drivers&amp;R&amp;10Updated 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085D-3518-46CD-B8D3-E7054627B2B0}">
  <sheetPr codeName="Sheet3">
    <tabColor theme="6" tint="0.59999389629810485"/>
    <pageSetUpPr fitToPage="1"/>
  </sheetPr>
  <dimension ref="A1:AB25"/>
  <sheetViews>
    <sheetView showGridLines="0" showRowColHeaders="0" zoomScaleNormal="100" zoomScaleSheetLayoutView="100" workbookViewId="0"/>
  </sheetViews>
  <sheetFormatPr defaultColWidth="9" defaultRowHeight="10.199999999999999" x14ac:dyDescent="0.2"/>
  <cols>
    <col min="1" max="1" width="2.69921875" style="18" customWidth="1"/>
    <col min="2" max="2" width="2.796875" style="16" customWidth="1"/>
    <col min="3" max="3" width="14.3984375" style="16" customWidth="1"/>
    <col min="4" max="4" width="0.796875" style="16" customWidth="1"/>
    <col min="5" max="6" width="7" style="12" customWidth="1"/>
    <col min="7" max="7" width="1.19921875" style="16" customWidth="1"/>
    <col min="8" max="9" width="7" style="12" customWidth="1"/>
    <col min="10" max="10" width="1.19921875" style="16" customWidth="1"/>
    <col min="11" max="12" width="7" style="12" customWidth="1"/>
    <col min="13" max="13" width="1.19921875" style="16" customWidth="1"/>
    <col min="14" max="16" width="7" style="12" customWidth="1"/>
    <col min="17" max="17" width="1.19921875" style="16" customWidth="1"/>
    <col min="18" max="20" width="7" style="12" customWidth="1"/>
    <col min="21" max="21" width="1.19921875" style="16" customWidth="1"/>
    <col min="22" max="22" width="7" style="102" customWidth="1"/>
    <col min="23" max="23" width="1.19921875" style="16" customWidth="1"/>
    <col min="24" max="27" width="7" style="102" customWidth="1"/>
    <col min="28" max="28" width="1.5" style="102" hidden="1" customWidth="1"/>
    <col min="29" max="16384" width="9" style="16"/>
  </cols>
  <sheetData>
    <row r="1" spans="1:28" s="5" customFormat="1" x14ac:dyDescent="0.2">
      <c r="A1" s="21" t="s">
        <v>2</v>
      </c>
      <c r="B1" s="1"/>
      <c r="C1" s="1"/>
      <c r="D1" s="1"/>
      <c r="E1" s="1"/>
      <c r="F1" s="1"/>
      <c r="G1" s="1"/>
      <c r="H1" s="1"/>
      <c r="I1" s="3"/>
      <c r="W1" s="3"/>
      <c r="X1" s="3"/>
      <c r="Y1" s="3"/>
      <c r="Z1" s="3"/>
      <c r="AA1" s="3"/>
      <c r="AB1" s="3"/>
    </row>
    <row r="2" spans="1:28" s="12" customFormat="1" ht="16.8" customHeight="1" x14ac:dyDescent="0.25">
      <c r="A2" s="11"/>
      <c r="B2" s="11"/>
      <c r="C2" s="310" t="s">
        <v>9</v>
      </c>
      <c r="D2" s="310"/>
      <c r="E2" s="310"/>
      <c r="H2" s="16"/>
      <c r="K2" s="17"/>
      <c r="L2" s="17"/>
      <c r="N2" s="17"/>
      <c r="O2" s="17"/>
      <c r="P2" s="17"/>
    </row>
    <row r="3" spans="1:28" s="19" customFormat="1" ht="24" customHeight="1" x14ac:dyDescent="0.25">
      <c r="A3" s="18"/>
      <c r="B3" s="16"/>
      <c r="C3" s="310"/>
      <c r="D3" s="310"/>
      <c r="E3" s="310"/>
      <c r="F3" s="74"/>
      <c r="G3" s="43"/>
      <c r="H3" s="74"/>
      <c r="I3" s="74"/>
      <c r="J3" s="43"/>
      <c r="K3" s="74"/>
      <c r="L3" s="74"/>
      <c r="M3" s="43"/>
      <c r="N3" s="74"/>
      <c r="O3" s="74"/>
      <c r="P3" s="74"/>
      <c r="Q3" s="43"/>
      <c r="R3" s="74"/>
      <c r="S3" s="74"/>
      <c r="T3" s="74"/>
      <c r="U3" s="43"/>
      <c r="V3" s="74"/>
      <c r="W3" s="43"/>
      <c r="X3" s="424" t="s">
        <v>108</v>
      </c>
      <c r="Y3" s="424"/>
      <c r="Z3" s="424"/>
      <c r="AA3" s="424"/>
    </row>
    <row r="4" spans="1:28" s="36" customFormat="1" ht="13.2" x14ac:dyDescent="0.3">
      <c r="A4" s="18"/>
      <c r="B4" s="16"/>
      <c r="C4" s="38" t="s">
        <v>128</v>
      </c>
      <c r="D4" s="12"/>
      <c r="E4" s="44"/>
      <c r="F4" s="44"/>
      <c r="G4" s="44"/>
      <c r="H4" s="98"/>
      <c r="I4" s="99"/>
      <c r="J4" s="44"/>
      <c r="K4" s="99"/>
      <c r="L4" s="99"/>
      <c r="M4" s="44"/>
      <c r="N4" s="99"/>
      <c r="O4" s="99"/>
      <c r="P4" s="99"/>
      <c r="Q4" s="44"/>
      <c r="R4" s="99"/>
      <c r="S4" s="100"/>
      <c r="T4" s="101"/>
      <c r="U4" s="44"/>
      <c r="V4" s="101"/>
      <c r="W4" s="44"/>
      <c r="X4" s="197" t="s">
        <v>39</v>
      </c>
      <c r="Y4" s="197" t="s">
        <v>39</v>
      </c>
      <c r="Z4" s="197" t="s">
        <v>39</v>
      </c>
      <c r="AA4" s="97" t="s">
        <v>32</v>
      </c>
    </row>
    <row r="5" spans="1:28" ht="12.6" x14ac:dyDescent="0.3">
      <c r="C5" s="30"/>
      <c r="D5" s="30"/>
      <c r="E5" s="425" t="s">
        <v>33</v>
      </c>
      <c r="F5" s="425"/>
      <c r="G5" s="34"/>
      <c r="H5" s="425" t="s">
        <v>20</v>
      </c>
      <c r="I5" s="425"/>
      <c r="J5" s="34"/>
      <c r="K5" s="425" t="s">
        <v>21</v>
      </c>
      <c r="L5" s="425"/>
      <c r="M5" s="34"/>
      <c r="N5" s="425" t="s">
        <v>35</v>
      </c>
      <c r="O5" s="425"/>
      <c r="P5" s="425"/>
      <c r="Q5" s="34"/>
      <c r="R5" s="425" t="s">
        <v>22</v>
      </c>
      <c r="S5" s="425"/>
      <c r="T5" s="425"/>
      <c r="U5" s="34"/>
      <c r="V5" s="34"/>
      <c r="W5" s="34"/>
      <c r="X5" s="65" t="s">
        <v>77</v>
      </c>
      <c r="Y5" s="65" t="s">
        <v>77</v>
      </c>
      <c r="Z5" s="112" t="s">
        <v>76</v>
      </c>
      <c r="AA5" s="80" t="s">
        <v>76</v>
      </c>
      <c r="AB5" s="16"/>
    </row>
    <row r="6" spans="1:28" s="41" customFormat="1" ht="12.6" x14ac:dyDescent="0.3">
      <c r="A6" s="40"/>
      <c r="C6" s="30"/>
      <c r="D6" s="30"/>
      <c r="E6" s="196" t="s">
        <v>39</v>
      </c>
      <c r="F6" s="81" t="s">
        <v>32</v>
      </c>
      <c r="G6" s="35"/>
      <c r="H6" s="82" t="s">
        <v>77</v>
      </c>
      <c r="I6" s="83" t="s">
        <v>76</v>
      </c>
      <c r="J6" s="35"/>
      <c r="K6" s="84" t="s">
        <v>5</v>
      </c>
      <c r="L6" s="85" t="s">
        <v>4</v>
      </c>
      <c r="M6" s="35"/>
      <c r="N6" s="86" t="s">
        <v>80</v>
      </c>
      <c r="O6" s="87" t="s">
        <v>81</v>
      </c>
      <c r="P6" s="88" t="s">
        <v>82</v>
      </c>
      <c r="Q6" s="35"/>
      <c r="R6" s="89" t="s">
        <v>95</v>
      </c>
      <c r="S6" s="90" t="s">
        <v>86</v>
      </c>
      <c r="T6" s="91" t="s">
        <v>97</v>
      </c>
      <c r="U6" s="34"/>
      <c r="V6" s="104" t="s">
        <v>10</v>
      </c>
      <c r="W6" s="34"/>
      <c r="X6" s="110" t="s">
        <v>5</v>
      </c>
      <c r="Y6" s="111" t="s">
        <v>4</v>
      </c>
      <c r="Z6" s="111" t="s">
        <v>4</v>
      </c>
      <c r="AA6" s="96" t="s">
        <v>4</v>
      </c>
    </row>
    <row r="7" spans="1:28" s="19" customFormat="1" ht="6" customHeight="1" x14ac:dyDescent="0.25">
      <c r="A7" s="18"/>
      <c r="B7" s="16"/>
      <c r="G7" s="62"/>
      <c r="J7" s="62"/>
      <c r="M7" s="62"/>
      <c r="Q7" s="62"/>
      <c r="U7" s="62"/>
      <c r="W7" s="62"/>
    </row>
    <row r="8" spans="1:28" ht="12.6" x14ac:dyDescent="0.3">
      <c r="C8" s="30" t="s">
        <v>25</v>
      </c>
      <c r="D8" s="30"/>
      <c r="E8" s="32">
        <f>SUM(Drivers!F14:H14)</f>
        <v>500</v>
      </c>
      <c r="F8" s="32"/>
      <c r="G8" s="32"/>
      <c r="H8" s="32">
        <f>SUM(Drivers!F14:G14)</f>
        <v>250</v>
      </c>
      <c r="I8" s="32">
        <f>SUM(Drivers!H14)</f>
        <v>250</v>
      </c>
      <c r="J8" s="32"/>
      <c r="K8" s="32">
        <f>SUM(Drivers!F14)</f>
        <v>150</v>
      </c>
      <c r="L8" s="32">
        <f>SUM(Drivers!G14:H14)</f>
        <v>350</v>
      </c>
      <c r="M8" s="32"/>
      <c r="N8" s="32">
        <f>SUMPRODUCT(Drivers!F$14:H$14,Drivers!F16:H16)</f>
        <v>162.5</v>
      </c>
      <c r="O8" s="32">
        <f>SUMPRODUCT(Drivers!F$14:H$14,Drivers!F18:H18)</f>
        <v>179.77199999999999</v>
      </c>
      <c r="P8" s="32">
        <f>SUMPRODUCT(Drivers!F$14:H$14,Drivers!F20:H20)</f>
        <v>157.72800000000001</v>
      </c>
      <c r="Q8" s="14"/>
      <c r="R8" s="32">
        <f>SUMPRODUCT(Drivers!F$14:H$14,Drivers!F22:H22)</f>
        <v>159</v>
      </c>
      <c r="S8" s="32">
        <f>SUMPRODUCT(Drivers!F$14:H$14,Drivers!F24:H24)</f>
        <v>186.5</v>
      </c>
      <c r="T8" s="32">
        <f>SUMPRODUCT(Drivers!F$14:H$14,Drivers!F26:H26)</f>
        <v>154.5</v>
      </c>
      <c r="U8" s="32"/>
      <c r="V8" s="32">
        <f>SUM(Drivers!F14:H14)</f>
        <v>500</v>
      </c>
      <c r="W8" s="14"/>
      <c r="X8" s="32">
        <f>Drivers!F14</f>
        <v>150</v>
      </c>
      <c r="Y8" s="32">
        <f>Drivers!G14</f>
        <v>100</v>
      </c>
      <c r="Z8" s="32">
        <f>Drivers!H14</f>
        <v>250</v>
      </c>
      <c r="AA8" s="32"/>
      <c r="AB8" s="8" t="str">
        <f>IF(AND(SUM(Income!E8:F8,Income!H8:I8,Income!K8:L8)-SUM(Income!N8:P8,Income!R8:T8,Income!V8)&lt;=0.0001,V8-SUM(X8:AA8)&lt;=0.0001),"✓", "✕")</f>
        <v>✓</v>
      </c>
    </row>
    <row r="9" spans="1:28" ht="12.6" x14ac:dyDescent="0.3">
      <c r="C9" s="30" t="s">
        <v>41</v>
      </c>
      <c r="D9" s="30"/>
      <c r="E9" s="32"/>
      <c r="F9" s="32">
        <f>Drivers!I14</f>
        <v>300</v>
      </c>
      <c r="G9" s="32"/>
      <c r="H9" s="32"/>
      <c r="I9" s="32">
        <f>SUM(Drivers!I14)</f>
        <v>300</v>
      </c>
      <c r="J9" s="32"/>
      <c r="K9" s="32"/>
      <c r="L9" s="32">
        <f>SUM(Drivers!I14)</f>
        <v>300</v>
      </c>
      <c r="M9" s="32"/>
      <c r="N9" s="32">
        <f>Drivers!I$14*Drivers!I16</f>
        <v>180</v>
      </c>
      <c r="O9" s="32">
        <f>Drivers!I$14*Drivers!I18</f>
        <v>90</v>
      </c>
      <c r="P9" s="32">
        <f>Drivers!I$14*Drivers!I20</f>
        <v>30</v>
      </c>
      <c r="Q9" s="14"/>
      <c r="R9" s="32">
        <f>Drivers!I$14*Drivers!I22</f>
        <v>75</v>
      </c>
      <c r="S9" s="32">
        <f>Drivers!I$14*Drivers!I24</f>
        <v>45</v>
      </c>
      <c r="T9" s="32">
        <f>Drivers!I$14*Drivers!I26</f>
        <v>180</v>
      </c>
      <c r="U9" s="32"/>
      <c r="V9" s="32">
        <f>SUM(Drivers!I14)</f>
        <v>300</v>
      </c>
      <c r="W9" s="14"/>
      <c r="X9" s="32"/>
      <c r="Y9" s="32"/>
      <c r="Z9" s="32"/>
      <c r="AA9" s="32">
        <f>Drivers!I14</f>
        <v>300</v>
      </c>
      <c r="AB9" s="8" t="str">
        <f>IF(AND(SUM(Income!E9:F9,Income!H9:I9,Income!K9:L9)-SUM(Income!N9:P9,Income!R9:T9,Income!V9)&lt;=0.0001,V9-SUM(X9:AA9)&lt;=0.0001),"✓", "✕")</f>
        <v>✓</v>
      </c>
    </row>
    <row r="10" spans="1:28" ht="12.6" x14ac:dyDescent="0.3">
      <c r="C10" s="207" t="s">
        <v>3</v>
      </c>
      <c r="D10" s="30"/>
      <c r="E10" s="49">
        <f>SUM(Drivers!BL7:BL9,Drivers!BW7:BW9,Drivers!BL13:BL15)</f>
        <v>22.475345999999998</v>
      </c>
      <c r="F10" s="49">
        <f>SUM(Drivers!BW13:BW15)</f>
        <v>17.352</v>
      </c>
      <c r="G10" s="50"/>
      <c r="H10" s="49">
        <f>SUM(Drivers!BL7:BL9,Drivers!BL13:BL15)</f>
        <v>7.3240960000000008</v>
      </c>
      <c r="I10" s="49">
        <f>SUM(Drivers!BW7:BW9,Drivers!BW13:BW15)</f>
        <v>32.503249999999994</v>
      </c>
      <c r="J10" s="50"/>
      <c r="K10" s="49">
        <f>SUM(Drivers!BL7:BL9)</f>
        <v>4.3860960000000002</v>
      </c>
      <c r="L10" s="49">
        <f>SUM(Drivers!BL13:BL15,Drivers!BW7:BW9,Drivers!BW13:BW15)</f>
        <v>35.441249999999997</v>
      </c>
      <c r="M10" s="50"/>
      <c r="N10" s="49">
        <f>SUM(Drivers!BL7,Drivers!BL13,Drivers!BW7,Drivers!BW13)</f>
        <v>16.255125</v>
      </c>
      <c r="O10" s="49">
        <f>SUM(Drivers!BW14,Drivers!BW8,Drivers!BL14,Drivers!BL8)</f>
        <v>13.454241000000001</v>
      </c>
      <c r="P10" s="49">
        <f>SUM(Drivers!BW15,Drivers!BW9,Drivers!BL15,Drivers!BL9)</f>
        <v>10.117979999999999</v>
      </c>
      <c r="Q10" s="186"/>
      <c r="R10" s="49">
        <f>SUM(Drivers!BL10,Drivers!BL16,Drivers!BW10,Drivers!BW16)</f>
        <v>11.029847239999999</v>
      </c>
      <c r="S10" s="49">
        <f>SUM(Drivers!BL11,Drivers!BL17,Drivers!BW11,Drivers!BW17)</f>
        <v>11.433422459999999</v>
      </c>
      <c r="T10" s="49">
        <f>SUM(Drivers!BL12,Drivers!BL18,Drivers!BW12,Drivers!BW18)</f>
        <v>17.364076300000001</v>
      </c>
      <c r="U10" s="50"/>
      <c r="V10" s="49">
        <f>SUM(Drivers!BL7:BL9,Drivers!BL13:BL15,Drivers!BW7:BW9,Drivers!BW13:BW15)</f>
        <v>39.827345999999999</v>
      </c>
      <c r="W10" s="186"/>
      <c r="X10" s="49">
        <f>SUM(Drivers!BL7:BL9)</f>
        <v>4.3860960000000002</v>
      </c>
      <c r="Y10" s="49">
        <f>SUM(Drivers!BL13:BL15)</f>
        <v>2.9379999999999997</v>
      </c>
      <c r="Z10" s="49">
        <f>SUM(Drivers!BW7:BW9)</f>
        <v>15.151249999999999</v>
      </c>
      <c r="AA10" s="49">
        <f>SUM(Drivers!BW13:BW15)</f>
        <v>17.352</v>
      </c>
      <c r="AB10" s="8" t="str">
        <f>IF(AND(SUM(Income!E10:F10,Income!H10:I10,Income!K10:L10)-SUM(Income!N10:P10,Income!R10:T10,Income!V10)&lt;=0.0001,V10-SUM(X10:AA10)&lt;=0.0001),"✓", "✕")</f>
        <v>✓</v>
      </c>
    </row>
    <row r="11" spans="1:28" ht="12.6" x14ac:dyDescent="0.3">
      <c r="C11" s="208" t="s">
        <v>12</v>
      </c>
      <c r="D11" s="31"/>
      <c r="E11" s="49">
        <f>SUM(Drivers!BM7:BM9,Drivers!BX7:BX9,Drivers!BM13:BM15)</f>
        <v>10</v>
      </c>
      <c r="F11" s="49"/>
      <c r="G11" s="50"/>
      <c r="H11" s="49">
        <f>SUM(Drivers!BM7:BM9,Drivers!BM13:BM15)</f>
        <v>10</v>
      </c>
      <c r="I11" s="49"/>
      <c r="J11" s="50"/>
      <c r="K11" s="49">
        <f>SUM(Drivers!BM7:BM9)</f>
        <v>6</v>
      </c>
      <c r="L11" s="49">
        <f>SUM(Drivers!BM13:BM15,Drivers!BX7:BX9,Drivers!BX13:BX15)</f>
        <v>4</v>
      </c>
      <c r="M11" s="50"/>
      <c r="N11" s="49">
        <f>SUM(Drivers!BM7,Drivers!BM13,Drivers!BX7,Drivers!BX13)</f>
        <v>3.4000000000000004</v>
      </c>
      <c r="O11" s="49">
        <f>SUM(Drivers!BX14,Drivers!BX8,Drivers!BM14,Drivers!BM8)</f>
        <v>3.2908800000000005</v>
      </c>
      <c r="P11" s="49">
        <f>SUM(Drivers!BX15,Drivers!BX9,Drivers!BM15,Drivers!BM9)</f>
        <v>3.3091200000000001</v>
      </c>
      <c r="Q11" s="186"/>
      <c r="R11" s="49">
        <f>SUM(Drivers!BM10,Drivers!BM16,Drivers!BX10,Drivers!BX16)</f>
        <v>3.7600000000000002</v>
      </c>
      <c r="S11" s="49">
        <f>SUM(Drivers!BM11,Drivers!BM17,Drivers!BX11,Drivers!BX17)</f>
        <v>3.16</v>
      </c>
      <c r="T11" s="49">
        <f>SUM(Drivers!BM12,Drivers!BM18,Drivers!BX12,Drivers!BX18)</f>
        <v>3.08</v>
      </c>
      <c r="U11" s="50"/>
      <c r="V11" s="49">
        <f>SUM(Drivers!BM7:BM9,Drivers!BM13:BM15,Drivers!BX7:BX9,Drivers!BX13:BX15)</f>
        <v>10</v>
      </c>
      <c r="W11" s="186"/>
      <c r="X11" s="49">
        <f>SUM(Drivers!BM7:BM9)</f>
        <v>6</v>
      </c>
      <c r="Y11" s="49">
        <f>SUM(Drivers!BM13:BM15)</f>
        <v>4</v>
      </c>
      <c r="Z11" s="49">
        <f>SUM(Drivers!BX7:BX9)</f>
        <v>0</v>
      </c>
      <c r="AA11" s="49">
        <f>SUM(Drivers!BX13:BX15)</f>
        <v>0</v>
      </c>
      <c r="AB11" s="8" t="str">
        <f>IF(AND(SUM(Income!E11:F11,Income!H11:I11,Income!K11:L11)-SUM(Income!N11:P11,Income!R11:T11,Income!V11)&lt;=0.0001,V11-SUM(X11:AA11)&lt;=0.0001),"✓", "✕")</f>
        <v>✓</v>
      </c>
    </row>
    <row r="12" spans="1:28" ht="12.6" x14ac:dyDescent="0.3">
      <c r="A12" s="12"/>
      <c r="C12" s="208" t="s">
        <v>34</v>
      </c>
      <c r="D12" s="30"/>
      <c r="E12" s="49">
        <f>SUM(Drivers!BN7:BN9,Drivers!BY7:BY9,Drivers!BN13:BN15)</f>
        <v>5</v>
      </c>
      <c r="F12" s="49"/>
      <c r="G12" s="50"/>
      <c r="H12" s="49">
        <f>SUM(Drivers!BN7:BN9,Drivers!BN13:BN15)</f>
        <v>2.5</v>
      </c>
      <c r="I12" s="49">
        <f>SUM(Drivers!BY7:BY9,Drivers!BY13:BY15)</f>
        <v>2.5</v>
      </c>
      <c r="J12" s="50"/>
      <c r="K12" s="49">
        <f>SUM(Drivers!BN7:BN9)</f>
        <v>1.5</v>
      </c>
      <c r="L12" s="49">
        <f>SUM(Drivers!BN13:BN15,Drivers!BY7:BY9,Drivers!BY13:BY15)</f>
        <v>3.5</v>
      </c>
      <c r="M12" s="50"/>
      <c r="N12" s="49">
        <f>SUM(Drivers!BN7,Drivers!BN13,Drivers!BY7,Drivers!BY13)</f>
        <v>1.625</v>
      </c>
      <c r="O12" s="49">
        <f>SUM(Drivers!BY14,Drivers!BY8,Drivers!BN14,Drivers!BN8)</f>
        <v>1.79772</v>
      </c>
      <c r="P12" s="49">
        <f>SUM(Drivers!BY15,Drivers!BY9,Drivers!BN15,Drivers!BN9)</f>
        <v>1.57728</v>
      </c>
      <c r="Q12" s="186"/>
      <c r="R12" s="49">
        <f>SUM(Drivers!BN10,Drivers!BN16,Drivers!BY10,Drivers!BY16)</f>
        <v>1.59</v>
      </c>
      <c r="S12" s="49">
        <f>SUM(Drivers!BN11,Drivers!BN17,Drivers!BY11,Drivers!BY17)</f>
        <v>1.865</v>
      </c>
      <c r="T12" s="49">
        <f>SUM(Drivers!BN12,Drivers!BN18,Drivers!BY12,Drivers!BY18)</f>
        <v>1.5449999999999999</v>
      </c>
      <c r="U12" s="50"/>
      <c r="V12" s="49">
        <f>SUM(Drivers!BN7:BN9,Drivers!BN13:BN15,Drivers!BY7:BY9,Drivers!BY13:BY15)</f>
        <v>5</v>
      </c>
      <c r="W12" s="186"/>
      <c r="X12" s="49">
        <f>SUM(Drivers!BN7:BN9)</f>
        <v>1.5</v>
      </c>
      <c r="Y12" s="49">
        <f>SUM(Drivers!BN13:BN15)</f>
        <v>1</v>
      </c>
      <c r="Z12" s="49">
        <f>SUM(Drivers!BY7:BY9)</f>
        <v>2.5</v>
      </c>
      <c r="AA12" s="49">
        <f>SUM(Drivers!BY13:BY15)</f>
        <v>0</v>
      </c>
      <c r="AB12" s="8" t="str">
        <f>IF(AND(SUM(Income!E12:F12,Income!H12:I12,Income!K12:L12)-SUM(Income!N12:P12,Income!R12:T12,Income!V12)&lt;=0.0001,V12-SUM(X12:AA12)&lt;=0.0001),"✓", "✕")</f>
        <v>✓</v>
      </c>
    </row>
    <row r="13" spans="1:28" ht="12.6" x14ac:dyDescent="0.3">
      <c r="C13" s="208" t="s">
        <v>13</v>
      </c>
      <c r="D13" s="30"/>
      <c r="E13" s="49">
        <f>SUM(Drivers!BO7:BO9,Drivers!BZ7:BZ9,Drivers!BO13:BO15)</f>
        <v>6.697044</v>
      </c>
      <c r="F13" s="49"/>
      <c r="G13" s="50"/>
      <c r="H13" s="49">
        <f>SUM(Drivers!BO7:BO9,Drivers!BO13:BO15)</f>
        <v>3.3295439999999998</v>
      </c>
      <c r="I13" s="49">
        <f>SUM(Drivers!BZ7:BZ9,Drivers!BZ13:BZ15)</f>
        <v>3.3675000000000002</v>
      </c>
      <c r="J13" s="50"/>
      <c r="K13" s="49">
        <f>SUM(Drivers!BO7:BO9)</f>
        <v>1.9885440000000001</v>
      </c>
      <c r="L13" s="49">
        <f>SUM(Drivers!BO13:BO15,Drivers!BZ7:BZ9,Drivers!BZ13:BZ15)</f>
        <v>4.7084999999999999</v>
      </c>
      <c r="M13" s="50"/>
      <c r="N13" s="49">
        <f>SUM(Drivers!BO7,Drivers!BO13,Drivers!BZ7,Drivers!BZ13)</f>
        <v>1.9500000000000002</v>
      </c>
      <c r="O13" s="49">
        <f>SUM(Drivers!BZ14,Drivers!BZ8,Drivers!BO14,Drivers!BO8)</f>
        <v>2.69658</v>
      </c>
      <c r="P13" s="49">
        <f>SUM(Drivers!BZ15,Drivers!BZ9,Drivers!BO15,Drivers!BO9)</f>
        <v>2.0504639999999998</v>
      </c>
      <c r="Q13" s="186"/>
      <c r="R13" s="49">
        <f>SUM(Drivers!BO10,Drivers!BO16,Drivers!BZ10,Drivers!BZ16)</f>
        <v>2.1259893600000002</v>
      </c>
      <c r="S13" s="49">
        <f>SUM(Drivers!BO11,Drivers!BO17,Drivers!BZ11,Drivers!BZ17)</f>
        <v>2.5014464400000005</v>
      </c>
      <c r="T13" s="49">
        <f>SUM(Drivers!BO12,Drivers!BO18,Drivers!BZ12,Drivers!BZ18)</f>
        <v>2.0696082000000002</v>
      </c>
      <c r="U13" s="50"/>
      <c r="V13" s="49">
        <f>SUM(Drivers!BO7:BO9,Drivers!BO13:BO15,Drivers!BZ7:BZ9,Drivers!BZ13:BZ15)</f>
        <v>6.697044</v>
      </c>
      <c r="W13" s="186"/>
      <c r="X13" s="49">
        <f>SUM(Drivers!BO7:BO9)</f>
        <v>1.9885440000000001</v>
      </c>
      <c r="Y13" s="49">
        <f>SUM(Drivers!BO13:BO15)</f>
        <v>1.341</v>
      </c>
      <c r="Z13" s="49">
        <f>SUM(Drivers!BZ7:BZ9)</f>
        <v>3.3675000000000002</v>
      </c>
      <c r="AA13" s="49">
        <f>SUM(Drivers!BZ13:BZ15)</f>
        <v>0</v>
      </c>
      <c r="AB13" s="8" t="str">
        <f>IF(AND(SUM(Income!E13:F13,Income!H13:I13,Income!K13:L13)-SUM(Income!N13:P13,Income!R13:T13,Income!V13)&lt;=0.0001,V13-SUM(X13:AA13)&lt;=0.0001),"✓", "✕")</f>
        <v>✓</v>
      </c>
    </row>
    <row r="14" spans="1:28" ht="12.6" x14ac:dyDescent="0.3">
      <c r="C14" s="209" t="s">
        <v>37</v>
      </c>
      <c r="D14" s="30"/>
      <c r="E14" s="53">
        <f>SUM(Drivers!BP13:BP15,Drivers!CA7:CA9,Drivers!BP7:BP9)</f>
        <v>4.108000399999999</v>
      </c>
      <c r="F14" s="53">
        <f>SUM(Drivers!CA13:CA15)</f>
        <v>2.4435000000000002</v>
      </c>
      <c r="G14" s="50"/>
      <c r="H14" s="53">
        <f>SUM(Drivers!BP7:BP9,Drivers!BP13:BP15)</f>
        <v>2.1395004000000002</v>
      </c>
      <c r="I14" s="53">
        <f>SUM(Drivers!CA7:CA9,Drivers!CA13:CA15)</f>
        <v>4.411999999999999</v>
      </c>
      <c r="J14" s="50"/>
      <c r="K14" s="53">
        <f>SUM(Drivers!BP7:BP9)</f>
        <v>1.2804503999999999</v>
      </c>
      <c r="L14" s="53">
        <f>SUM(Drivers!BP13:BP15,Drivers!CA7:CA9,Drivers!CA13:CA15)</f>
        <v>5.2710499999999989</v>
      </c>
      <c r="M14" s="50"/>
      <c r="N14" s="53">
        <f>SUM(Drivers!BP7,Drivers!BP13,Drivers!CA7,Drivers!CA13)</f>
        <v>2.6201249999999998</v>
      </c>
      <c r="O14" s="53">
        <f>SUM(Drivers!CA14,Drivers!CA8,Drivers!BP14,Drivers!BP8)</f>
        <v>2.185505</v>
      </c>
      <c r="P14" s="53">
        <f>SUM(Drivers!CA15,Drivers!CA9,Drivers!BP15,Drivers!BP9)</f>
        <v>1.7458703999999998</v>
      </c>
      <c r="Q14" s="186"/>
      <c r="R14" s="53">
        <f>SUM(Drivers!BP10,Drivers!BP16,Drivers!CA10,Drivers!CA16)</f>
        <v>1.9266171760000002</v>
      </c>
      <c r="S14" s="53">
        <f>SUM(Drivers!BP11,Drivers!BP17,Drivers!CA11,Drivers!CA17)</f>
        <v>1.8895171039999998</v>
      </c>
      <c r="T14" s="53">
        <f>SUM(Drivers!BP12,Drivers!BP18,Drivers!CA12,Drivers!CA18)</f>
        <v>2.7353661200000001</v>
      </c>
      <c r="U14" s="50"/>
      <c r="V14" s="53">
        <f>SUM(Drivers!BP7:BP9,Drivers!BP13:BP15,Drivers!CA7:CA9,Drivers!CA13:CA15)</f>
        <v>6.5515004000000001</v>
      </c>
      <c r="W14" s="186"/>
      <c r="X14" s="53">
        <f>SUM(Drivers!BP7:BP9)</f>
        <v>1.2804503999999999</v>
      </c>
      <c r="Y14" s="53">
        <f>SUM(Drivers!BP13:BP15)</f>
        <v>0.85904999999999998</v>
      </c>
      <c r="Z14" s="53">
        <f>SUM(Drivers!CA7:CA9)</f>
        <v>1.9684999999999997</v>
      </c>
      <c r="AA14" s="53">
        <f>SUM(Drivers!CA13:CA15)</f>
        <v>2.4435000000000002</v>
      </c>
      <c r="AB14" s="8" t="str">
        <f>IF(AND(SUM(Income!E14:F14,Income!H14:I14,Income!K14:L14)-SUM(Income!N14:P14,Income!R14:T14,Income!V14)&lt;=0.0001,V14-SUM(X14:AA14)&lt;=0.0001),"✓", "✕")</f>
        <v>✓</v>
      </c>
    </row>
    <row r="15" spans="1:28" ht="12.6" x14ac:dyDescent="0.3">
      <c r="C15" s="34" t="s">
        <v>23</v>
      </c>
      <c r="D15" s="30"/>
      <c r="E15" s="51">
        <f>SUM(E10:E14)</f>
        <v>48.280390400000002</v>
      </c>
      <c r="F15" s="51">
        <f>SUM(F10:F14)</f>
        <v>19.795500000000001</v>
      </c>
      <c r="G15" s="51"/>
      <c r="H15" s="51">
        <f>SUM(H10:H14)</f>
        <v>25.293140399999999</v>
      </c>
      <c r="I15" s="51">
        <f>SUM(I10:I14)</f>
        <v>42.782749999999993</v>
      </c>
      <c r="J15" s="51"/>
      <c r="K15" s="51">
        <f>SUM(K10:K14)</f>
        <v>15.155090399999999</v>
      </c>
      <c r="L15" s="51">
        <f>SUM(L10:L14)</f>
        <v>52.9208</v>
      </c>
      <c r="M15" s="50"/>
      <c r="N15" s="51">
        <f>SUM(N10:N14)</f>
        <v>25.850249999999996</v>
      </c>
      <c r="O15" s="51">
        <f>SUM(O10:O14)</f>
        <v>23.424926000000003</v>
      </c>
      <c r="P15" s="51">
        <f>SUM(P10:P14)</f>
        <v>18.8007144</v>
      </c>
      <c r="Q15" s="186"/>
      <c r="R15" s="51">
        <f>SUM(R10:R14)</f>
        <v>20.432453776000003</v>
      </c>
      <c r="S15" s="51">
        <f>SUM(S10:S14)</f>
        <v>20.849386003999996</v>
      </c>
      <c r="T15" s="51">
        <f>SUM(T10:T14)</f>
        <v>26.79405062</v>
      </c>
      <c r="U15" s="51"/>
      <c r="V15" s="51">
        <f>SUM(V10:V14)</f>
        <v>68.075890399999992</v>
      </c>
      <c r="W15" s="186"/>
      <c r="X15" s="51">
        <f>SUM(X10:X14)</f>
        <v>15.155090399999999</v>
      </c>
      <c r="Y15" s="51">
        <f>SUM(Y10:Y14)</f>
        <v>10.13805</v>
      </c>
      <c r="Z15" s="51">
        <f>SUM(Z10:Z14)</f>
        <v>22.987249999999996</v>
      </c>
      <c r="AA15" s="51">
        <f>SUM(AA10:AA14)</f>
        <v>19.795500000000001</v>
      </c>
      <c r="AB15" s="8" t="str">
        <f>IF(AND(SUM(Income!E15:F15,Income!H15:I15,Income!K15:L15)-SUM(Income!N15:P15,Income!R15:T15,Income!V15)&lt;=0.0001,V15-SUM(X15:AA15)&lt;=0.0001),"✓", "✕")</f>
        <v>✓</v>
      </c>
    </row>
    <row r="16" spans="1:28" ht="12.6" x14ac:dyDescent="0.3">
      <c r="C16" s="208" t="s">
        <v>196</v>
      </c>
      <c r="D16" s="31"/>
      <c r="E16" s="49">
        <f>SUM(Drivers!BQ7:BQ9,Drivers!CB7:CB9,Drivers!BQ13:BQ15)</f>
        <v>2.5</v>
      </c>
      <c r="F16" s="49"/>
      <c r="G16" s="50"/>
      <c r="H16" s="49">
        <f>SUM(Drivers!BQ7:BQ9,Drivers!BQ13:BQ15)</f>
        <v>1.25</v>
      </c>
      <c r="I16" s="49">
        <f>SUM(Drivers!CB7:CB9,Drivers!CB13:CB15)</f>
        <v>1.25</v>
      </c>
      <c r="J16" s="50"/>
      <c r="K16" s="49">
        <f>SUM(Drivers!BQ7:BQ9)</f>
        <v>0.75</v>
      </c>
      <c r="L16" s="49">
        <f>SUM(Drivers!BQ13:BQ15,Drivers!CB7:CB9,Drivers!CB13:CB15)</f>
        <v>1.75</v>
      </c>
      <c r="M16" s="50"/>
      <c r="N16" s="49">
        <f>SUM(Drivers!BQ7,Drivers!BQ13,Drivers!CB7,Drivers!CB13)</f>
        <v>0.8125</v>
      </c>
      <c r="O16" s="49">
        <f>SUM(Drivers!CB14,Drivers!CB8,Drivers!BQ14,Drivers!BQ8)</f>
        <v>0.89885999999999999</v>
      </c>
      <c r="P16" s="49">
        <f>SUM(Drivers!CB15,Drivers!CB9,Drivers!BQ15,Drivers!BQ9)</f>
        <v>0.78864000000000001</v>
      </c>
      <c r="Q16" s="186"/>
      <c r="R16" s="49">
        <f>SUM(Drivers!BQ10,Drivers!BQ16,Drivers!CB10,Drivers!CB16)</f>
        <v>0.79500000000000004</v>
      </c>
      <c r="S16" s="49">
        <f>SUM(Drivers!BQ11,Drivers!BQ17,Drivers!CB11,Drivers!CB17)</f>
        <v>0.9325</v>
      </c>
      <c r="T16" s="49">
        <f>SUM(Drivers!BQ12,Drivers!BQ18,Drivers!CB12,Drivers!CB18)</f>
        <v>0.77249999999999996</v>
      </c>
      <c r="U16" s="50"/>
      <c r="V16" s="49">
        <f>SUM(Drivers!BQ7:BQ9,Drivers!BQ13:BQ15,Drivers!CB7:CB9,Drivers!CB13:CB15)</f>
        <v>2.5</v>
      </c>
      <c r="W16" s="186"/>
      <c r="X16" s="49">
        <f>SUM(Drivers!BQ7:BQ9)</f>
        <v>0.75</v>
      </c>
      <c r="Y16" s="49">
        <f>SUM(Drivers!BQ13:BQ15)</f>
        <v>0.5</v>
      </c>
      <c r="Z16" s="49">
        <f>SUM(Drivers!CB7:CB9)</f>
        <v>1.25</v>
      </c>
      <c r="AA16" s="49">
        <f>SUM(Drivers!CB13:CB15)</f>
        <v>0</v>
      </c>
      <c r="AB16" s="8" t="str">
        <f>IF(AND(SUM(Income!E16:F16,Income!H16:I16,Income!K16:L16)-SUM(Income!N16:P16,Income!R16:T16,Income!V16)&lt;=0.0001,V16-SUM(X16:AA16)&lt;=0.0001),"✓", "✕")</f>
        <v>✓</v>
      </c>
    </row>
    <row r="17" spans="3:28" ht="12.6" x14ac:dyDescent="0.3">
      <c r="C17" s="208" t="s">
        <v>0</v>
      </c>
      <c r="D17" s="30"/>
      <c r="E17" s="49">
        <f>SUM(Drivers!BR7:BR9,Drivers!BR13:BR15,Drivers!CC7:CC9)</f>
        <v>5.78864</v>
      </c>
      <c r="F17" s="49"/>
      <c r="G17" s="50"/>
      <c r="H17" s="49">
        <f>SUM(Drivers!BR7:BR9,Drivers!BR13:BR15)</f>
        <v>2.91364</v>
      </c>
      <c r="I17" s="49">
        <f>SUM(Drivers!CC7:CC9,Drivers!CC13:CC15)</f>
        <v>2.875</v>
      </c>
      <c r="J17" s="50"/>
      <c r="K17" s="49">
        <f>SUM(Drivers!BR7:BR9)</f>
        <v>1.74864</v>
      </c>
      <c r="L17" s="49">
        <f>SUM(Drivers!BR13:BR15,Drivers!CC7:CC9,Drivers!CC13:CC15)</f>
        <v>4.04</v>
      </c>
      <c r="M17" s="50"/>
      <c r="N17" s="49">
        <f>SUM(Drivers!BR7,Drivers!BR13,Drivers!CC7,Drivers!CC13)</f>
        <v>1.625</v>
      </c>
      <c r="O17" s="49">
        <f>SUM(Drivers!CC14,Drivers!CC8,Drivers!BR14,Drivers!BR8)</f>
        <v>1.79772</v>
      </c>
      <c r="P17" s="49">
        <f>SUM(Drivers!CC15,Drivers!CC9,Drivers!BR15,Drivers!BR9)</f>
        <v>2.36592</v>
      </c>
      <c r="Q17" s="186"/>
      <c r="R17" s="49">
        <f>SUM(Drivers!BR10,Drivers!BR16,Drivers!CC10,Drivers!CC16)</f>
        <v>1.8431016000000002</v>
      </c>
      <c r="S17" s="49">
        <f>SUM(Drivers!BR11,Drivers!BR17,Drivers!CC11,Drivers!CC17)</f>
        <v>2.1568963999999999</v>
      </c>
      <c r="T17" s="49">
        <f>SUM(Drivers!BR12,Drivers!BR18,Drivers!CC12,Drivers!CC18)</f>
        <v>1.7886419999999998</v>
      </c>
      <c r="U17" s="50"/>
      <c r="V17" s="49">
        <f>SUM(Drivers!BR7:BR9,Drivers!BR13:BR15,Drivers!CC7:CC9,Drivers!CC13:CC15)</f>
        <v>5.78864</v>
      </c>
      <c r="W17" s="186"/>
      <c r="X17" s="49">
        <f>SUM(Drivers!BR7:BR9)</f>
        <v>1.74864</v>
      </c>
      <c r="Y17" s="49">
        <f>SUM(Drivers!BR13:BR15)</f>
        <v>1.165</v>
      </c>
      <c r="Z17" s="49">
        <f>SUM(Drivers!CC7:CC9)</f>
        <v>2.875</v>
      </c>
      <c r="AA17" s="49">
        <f>SUM(Drivers!CC13:CC15)</f>
        <v>0</v>
      </c>
      <c r="AB17" s="8" t="str">
        <f>IF(AND(SUM(Income!E17:F17,Income!H17:I17,Income!K17:L17)-SUM(Income!N17:P17,Income!R17:T17,Income!V17)&lt;=0.0001,V17-SUM(X17:AA17)&lt;=0.0001),"✓", "✕")</f>
        <v>✓</v>
      </c>
    </row>
    <row r="18" spans="3:28" ht="12.6" x14ac:dyDescent="0.3">
      <c r="C18" s="211" t="s">
        <v>24</v>
      </c>
      <c r="D18" s="35"/>
      <c r="E18" s="52">
        <f>SUM(E16:E17)</f>
        <v>8.2886400000000009</v>
      </c>
      <c r="F18" s="52"/>
      <c r="G18" s="51"/>
      <c r="H18" s="52">
        <f>SUM(H16:H17)</f>
        <v>4.16364</v>
      </c>
      <c r="I18" s="52">
        <f>SUM(I16:I17)</f>
        <v>4.125</v>
      </c>
      <c r="J18" s="51"/>
      <c r="K18" s="52">
        <f>SUM(K16:K17)</f>
        <v>2.49864</v>
      </c>
      <c r="L18" s="52">
        <f>SUM(L16:L17)</f>
        <v>5.79</v>
      </c>
      <c r="M18" s="50"/>
      <c r="N18" s="52">
        <f>SUM(N16:N17)</f>
        <v>2.4375</v>
      </c>
      <c r="O18" s="52">
        <f>SUM(O16:O17)</f>
        <v>2.69658</v>
      </c>
      <c r="P18" s="52">
        <f>SUM(P16:P17)</f>
        <v>3.15456</v>
      </c>
      <c r="Q18" s="186"/>
      <c r="R18" s="52">
        <f>SUM(R16:R17)</f>
        <v>2.6381016000000002</v>
      </c>
      <c r="S18" s="52">
        <f>SUM(S16:S17)</f>
        <v>3.0893964</v>
      </c>
      <c r="T18" s="52">
        <f>SUM(T16:T17)</f>
        <v>2.5611419999999998</v>
      </c>
      <c r="U18" s="51"/>
      <c r="V18" s="52">
        <f>SUM(V16:V17)</f>
        <v>8.2886400000000009</v>
      </c>
      <c r="W18" s="186"/>
      <c r="X18" s="52">
        <f>SUM(X16:X17)</f>
        <v>2.49864</v>
      </c>
      <c r="Y18" s="52">
        <f>SUM(Y16:Y17)</f>
        <v>1.665</v>
      </c>
      <c r="Z18" s="52">
        <f>SUM(Z16:Z17)</f>
        <v>4.125</v>
      </c>
      <c r="AA18" s="52">
        <f>SUM(AA16:AA17)</f>
        <v>0</v>
      </c>
      <c r="AB18" s="8" t="str">
        <f>IF(AND(SUM(Income!E18:F18,Income!H18:I18,Income!K18:L18)-SUM(Income!N18:P18,Income!R18:T18,Income!V18)&lt;=0.0001,V18-SUM(X18:AA18)&lt;=0.0001),"✓", "✕")</f>
        <v>✓</v>
      </c>
    </row>
    <row r="19" spans="3:28" ht="12.6" x14ac:dyDescent="0.3">
      <c r="C19" s="34" t="s">
        <v>30</v>
      </c>
      <c r="D19" s="35"/>
      <c r="E19" s="51">
        <f>+E15-E18</f>
        <v>39.991750400000001</v>
      </c>
      <c r="F19" s="51">
        <f>+F15-F18</f>
        <v>19.795500000000001</v>
      </c>
      <c r="G19" s="51"/>
      <c r="H19" s="51">
        <f>+H15-H18</f>
        <v>21.129500399999998</v>
      </c>
      <c r="I19" s="51">
        <f>+I15-I18</f>
        <v>38.657749999999993</v>
      </c>
      <c r="J19" s="51"/>
      <c r="K19" s="51">
        <f>+K15-K18</f>
        <v>12.656450399999999</v>
      </c>
      <c r="L19" s="51">
        <f>+L15-L18</f>
        <v>47.130800000000001</v>
      </c>
      <c r="M19" s="50"/>
      <c r="N19" s="51">
        <f>+N15-N18</f>
        <v>23.412749999999996</v>
      </c>
      <c r="O19" s="51">
        <f>+O15-O18</f>
        <v>20.728346000000002</v>
      </c>
      <c r="P19" s="51">
        <f>+P15-P18</f>
        <v>15.6461544</v>
      </c>
      <c r="Q19" s="186"/>
      <c r="R19" s="51">
        <f>+R15-R18</f>
        <v>17.794352176000004</v>
      </c>
      <c r="S19" s="51">
        <f>+S15-S18</f>
        <v>17.759989603999998</v>
      </c>
      <c r="T19" s="51">
        <f>+T15-T18</f>
        <v>24.23290862</v>
      </c>
      <c r="U19" s="51"/>
      <c r="V19" s="51">
        <f>+V15-V18</f>
        <v>59.787250399999991</v>
      </c>
      <c r="W19" s="186"/>
      <c r="X19" s="51">
        <f>X15-X18</f>
        <v>12.656450399999999</v>
      </c>
      <c r="Y19" s="51">
        <f>Y15-Y18</f>
        <v>8.4730500000000006</v>
      </c>
      <c r="Z19" s="51">
        <f>Z15-Z18</f>
        <v>18.862249999999996</v>
      </c>
      <c r="AA19" s="51">
        <f>AA15-AA18</f>
        <v>19.795500000000001</v>
      </c>
      <c r="AB19" s="8" t="str">
        <f>IF(AND(SUM(Income!E19:F19,Income!H19:I19,Income!K19:L19)-SUM(Income!N19:P19,Income!R19:T19,Income!V19)&lt;=0.0001,V19-SUM(X19:AA19)&lt;=0.0001),"✓", "✕")</f>
        <v>✓</v>
      </c>
    </row>
    <row r="20" spans="3:28" ht="12.6" x14ac:dyDescent="0.3">
      <c r="C20" s="208" t="s">
        <v>38</v>
      </c>
      <c r="D20" s="31"/>
      <c r="E20" s="49">
        <f>SUM(Drivers!BS7:BS9,Drivers!BS13:BS15,Drivers!CD7:CD9)</f>
        <v>26.040959999999998</v>
      </c>
      <c r="F20" s="49">
        <f>SUM(Drivers!CD13:CD15)</f>
        <v>11.1</v>
      </c>
      <c r="G20" s="50"/>
      <c r="H20" s="49">
        <f>SUM(Drivers!BS7:BS9,Drivers!BS13:BS15)</f>
        <v>13.29096</v>
      </c>
      <c r="I20" s="49">
        <f>SUM(Drivers!CD7:CD9,Drivers!CD13:CD15)</f>
        <v>23.849999999999998</v>
      </c>
      <c r="J20" s="50"/>
      <c r="K20" s="49">
        <f>SUM(Drivers!BS7:BS9)</f>
        <v>7.9809599999999996</v>
      </c>
      <c r="L20" s="49">
        <f>SUM(Drivers!BS13:BS15,Drivers!CD7:CD9,Drivers!CD13:CD15)</f>
        <v>29.159999999999997</v>
      </c>
      <c r="M20" s="50"/>
      <c r="N20" s="49">
        <f>SUM(Drivers!BS7,Drivers!BS13,Drivers!CD7,Drivers!CD13)</f>
        <v>10.274999999999999</v>
      </c>
      <c r="O20" s="49">
        <f>SUM(Drivers!CD14,Drivers!CD8,Drivers!BS14,Drivers!BS8)</f>
        <v>8.093160000000001</v>
      </c>
      <c r="P20" s="49">
        <f>SUM(Drivers!CD15,Drivers!CD9,Drivers!BS15,Drivers!BS9)</f>
        <v>18.7728</v>
      </c>
      <c r="Q20" s="186"/>
      <c r="R20" s="49">
        <f>SUM(Drivers!BS10,Drivers!BS16,Drivers!CD10,Drivers!CD16)</f>
        <v>11.088422400000001</v>
      </c>
      <c r="S20" s="49">
        <f>SUM(Drivers!BS11,Drivers!BS17,Drivers!CD11,Drivers!CD17)</f>
        <v>11.346549599999999</v>
      </c>
      <c r="T20" s="49">
        <f>SUM(Drivers!BS12,Drivers!BS18,Drivers!CD12,Drivers!CD18)</f>
        <v>14.705988000000001</v>
      </c>
      <c r="U20" s="50"/>
      <c r="V20" s="49">
        <f>SUM(Drivers!BS7:BS9,Drivers!BS13:BS15,Drivers!CD7:CD9,Drivers!CD13:CD15)</f>
        <v>37.14096</v>
      </c>
      <c r="W20" s="186"/>
      <c r="X20" s="49">
        <f>SUM(Drivers!BS7:BS9)</f>
        <v>7.9809599999999996</v>
      </c>
      <c r="Y20" s="49">
        <f>SUM(Drivers!BS13:BS15)</f>
        <v>5.3100000000000005</v>
      </c>
      <c r="Z20" s="49">
        <f>SUM(Drivers!CD7:CD9)</f>
        <v>12.75</v>
      </c>
      <c r="AA20" s="49">
        <f>SUM(Drivers!CD13:CD15)</f>
        <v>11.1</v>
      </c>
      <c r="AB20" s="8" t="str">
        <f>IF(AND(SUM(Income!E20:F20,Income!H20:I20,Income!K20:L20)-SUM(Income!N20:P20,Income!R20:T20,Income!V20)&lt;=0.0001,V20-SUM(X20:AA20)&lt;=0.0001),"✓", "✕")</f>
        <v>✓</v>
      </c>
    </row>
    <row r="21" spans="3:28" ht="12.6" x14ac:dyDescent="0.3">
      <c r="C21" s="208" t="s">
        <v>14</v>
      </c>
      <c r="D21" s="30"/>
      <c r="E21" s="49">
        <f>(SUMPRODUCT(Drivers!F40:I40,Drivers!F42:I42)*SUM(Drivers!F14:H14)/SUM(Drivers!F14:I14))/1000</f>
        <v>4.2374999999999998</v>
      </c>
      <c r="F21" s="49">
        <f>(SUMPRODUCT(Drivers!F40:I40,Drivers!F42:I42)*SUM(Drivers!I14)/SUM(Drivers!F14:I14))/1000</f>
        <v>2.5425</v>
      </c>
      <c r="G21" s="50"/>
      <c r="H21" s="49">
        <f>(SUMPRODUCT(Drivers!F40:H40,Drivers!F42:H42))/1000</f>
        <v>2.58</v>
      </c>
      <c r="I21" s="49">
        <f>(Drivers!I40*Drivers!I42)/1000</f>
        <v>4.2</v>
      </c>
      <c r="J21" s="50"/>
      <c r="K21" s="49">
        <f>(SUMPRODUCT(Drivers!F40:G40,Drivers!F42:G42))/1000</f>
        <v>1.68</v>
      </c>
      <c r="L21" s="49">
        <f>(SUMPRODUCT(Drivers!H40:I40,Drivers!H42:I42))/1000</f>
        <v>5.0999999999999996</v>
      </c>
      <c r="M21" s="50"/>
      <c r="N21" s="49">
        <f>(SUMPRODUCT(Drivers!F40:I40,Drivers!F42:I42)*SUMPRODUCT(Drivers!F16:I16,Drivers!$F$14:$I$14)/SUM(Drivers!$F$14:$I$14))/1000</f>
        <v>2.9026874999999999</v>
      </c>
      <c r="O21" s="49">
        <f>(SUMPRODUCT(Drivers!F40:I40,Drivers!F42:I42)*SUMPRODUCT(Drivers!F18:I18,Drivers!$F$14:$I$14)/SUM(Drivers!$F$14:$I$14))/1000</f>
        <v>2.2863177000000001</v>
      </c>
      <c r="P21" s="49">
        <f>(SUMPRODUCT(Drivers!F40:I40,Drivers!F42:I42)*SUMPRODUCT(Drivers!F20:I20,Drivers!$F$14:$I$14)/SUM(Drivers!$F$14:$I$14))/1000</f>
        <v>1.5909948000000003</v>
      </c>
      <c r="Q21" s="186"/>
      <c r="R21" s="49">
        <f>(Drivers!F40*Drivers!F42)/1000</f>
        <v>0.48</v>
      </c>
      <c r="S21" s="49">
        <f>(SUMPRODUCT(Drivers!H40:I40,Drivers!H42:I42))/1000</f>
        <v>5.0999999999999996</v>
      </c>
      <c r="T21" s="49">
        <f>(Drivers!G40*Drivers!G42)/1000</f>
        <v>1.2</v>
      </c>
      <c r="U21" s="50"/>
      <c r="V21" s="49">
        <f>SUMPRODUCT(Drivers!F40:I40,Drivers!F42:I42)/1000</f>
        <v>6.78</v>
      </c>
      <c r="W21" s="186"/>
      <c r="X21" s="49">
        <f>(Income!K21)</f>
        <v>1.68</v>
      </c>
      <c r="Y21" s="49">
        <f>(Income!H21-Income!K21)</f>
        <v>0.90000000000000013</v>
      </c>
      <c r="Z21" s="49">
        <f>(Income!I21-AA21)</f>
        <v>1.6575000000000002</v>
      </c>
      <c r="AA21" s="49">
        <f>(Income!F21)</f>
        <v>2.5425</v>
      </c>
      <c r="AB21" s="8" t="str">
        <f>IF(AND(SUM(Income!E21:F21,Income!H21:I21,Income!K21:L21)-SUM(Income!N21:P21,Income!R21:T21,Income!V21)&lt;=0.0001,V21-SUM(X21:AA21)&lt;=0.0001),"✓", "✕")</f>
        <v>✓</v>
      </c>
    </row>
    <row r="22" spans="3:28" ht="12.6" x14ac:dyDescent="0.3">
      <c r="C22" s="209" t="s">
        <v>15</v>
      </c>
      <c r="D22" s="30"/>
      <c r="E22" s="53">
        <f>(SUM(Drivers!F44:H44) + (Drivers!H14/SUM(Drivers!H14:I14))*Drivers!I44)/1000</f>
        <v>7.9090909090909092</v>
      </c>
      <c r="F22" s="53">
        <f>((Drivers!I14/SUM(Drivers!H14:I14))*Drivers!I44)/1000</f>
        <v>1.0909090909090908</v>
      </c>
      <c r="G22" s="50"/>
      <c r="H22" s="53">
        <f>(SUM(Drivers!F44:H44))/1000</f>
        <v>7</v>
      </c>
      <c r="I22" s="53">
        <f>(SUM(Drivers!I44))/1000</f>
        <v>2</v>
      </c>
      <c r="J22" s="50"/>
      <c r="K22" s="53">
        <f>(SUM(Drivers!F44:G44))/1000</f>
        <v>5.5</v>
      </c>
      <c r="L22" s="53">
        <f>(SUM(Drivers!H44:I44))/1000</f>
        <v>3.5</v>
      </c>
      <c r="M22" s="50"/>
      <c r="N22" s="53">
        <f>(SUM(Drivers!F44:I44)*SUMPRODUCT(Drivers!F16:I16,Drivers!$F$14:$I$14)/SUM(Drivers!$F$14:$I$14))/1000</f>
        <v>3.8531249999999999</v>
      </c>
      <c r="O22" s="53">
        <f>(SUM(Drivers!F44:I44)*SUMPRODUCT(Drivers!F18:I18,Drivers!$F$14:$I$14)/SUM(Drivers!$F$14:$I$14))/1000</f>
        <v>3.0349349999999999</v>
      </c>
      <c r="P22" s="53">
        <f>(SUM(Drivers!F44:I44)*SUMPRODUCT(Drivers!F20:I20,Drivers!$F$14:$I$14)/SUM(Drivers!$F$14:$I$14))/1000</f>
        <v>2.1119400000000002</v>
      </c>
      <c r="Q22" s="186"/>
      <c r="R22" s="53">
        <f>(Drivers!$F$44)/1000</f>
        <v>3</v>
      </c>
      <c r="S22" s="53">
        <f>(SUM(Drivers!H44:I44))/1000</f>
        <v>3.5</v>
      </c>
      <c r="T22" s="53">
        <f>(Drivers!G44)/1000</f>
        <v>2.5</v>
      </c>
      <c r="U22" s="50"/>
      <c r="V22" s="53">
        <f>SUM(Drivers!F44:I44)/1000</f>
        <v>9</v>
      </c>
      <c r="W22" s="186"/>
      <c r="X22" s="53">
        <f>(Income!K22)</f>
        <v>5.5</v>
      </c>
      <c r="Y22" s="53">
        <f>(Income!H22-Income!K22)</f>
        <v>1.5</v>
      </c>
      <c r="Z22" s="53">
        <f>(Income!I22-AA22)</f>
        <v>0.90909090909090917</v>
      </c>
      <c r="AA22" s="53">
        <f>(Income!F22)</f>
        <v>1.0909090909090908</v>
      </c>
      <c r="AB22" s="8" t="str">
        <f>IF(AND(SUM(Income!E22:F22,Income!H22:I22,Income!K22:L22)-SUM(Income!N22:P22,Income!R22:T22,Income!V22)&lt;=0.0001,V22-SUM(X22:AA22)&lt;=0.0001),"✓", "✕")</f>
        <v>✓</v>
      </c>
    </row>
    <row r="23" spans="3:28" ht="12.6" x14ac:dyDescent="0.3">
      <c r="C23" s="34" t="s">
        <v>26</v>
      </c>
      <c r="D23" s="34"/>
      <c r="E23" s="54">
        <f>SUM(E20:E22)</f>
        <v>38.187550909090909</v>
      </c>
      <c r="F23" s="54">
        <f>SUM(F20:F22)</f>
        <v>14.733409090909092</v>
      </c>
      <c r="G23" s="51"/>
      <c r="H23" s="54">
        <f>SUM(H20:H22)</f>
        <v>22.87096</v>
      </c>
      <c r="I23" s="54">
        <f>SUM(I20:I22)</f>
        <v>30.049999999999997</v>
      </c>
      <c r="J23" s="51"/>
      <c r="K23" s="54">
        <f>SUM(K20:K22)</f>
        <v>15.160959999999999</v>
      </c>
      <c r="L23" s="54">
        <f>SUM(L20:L22)</f>
        <v>37.76</v>
      </c>
      <c r="M23" s="51"/>
      <c r="N23" s="54">
        <f>SUM(N20:N22)</f>
        <v>17.030812499999996</v>
      </c>
      <c r="O23" s="54">
        <f>SUM(O20:O22)</f>
        <v>13.4144127</v>
      </c>
      <c r="P23" s="54">
        <f>SUM(P20:P22)</f>
        <v>22.475734800000001</v>
      </c>
      <c r="Q23" s="186"/>
      <c r="R23" s="54">
        <f>SUM(R20:R22)</f>
        <v>14.568422400000001</v>
      </c>
      <c r="S23" s="54">
        <f>SUM(S20:S22)</f>
        <v>19.946549599999997</v>
      </c>
      <c r="T23" s="54">
        <f>SUM(T20:T22)</f>
        <v>18.405988000000001</v>
      </c>
      <c r="U23" s="54"/>
      <c r="V23" s="54">
        <f>SUM(V20:V22)</f>
        <v>52.920960000000001</v>
      </c>
      <c r="W23" s="186"/>
      <c r="X23" s="54">
        <f>SUM(X20:X22)</f>
        <v>15.160959999999999</v>
      </c>
      <c r="Y23" s="54">
        <f t="shared" ref="Y23:AA23" si="0">SUM(Y20:Y22)</f>
        <v>7.7100000000000009</v>
      </c>
      <c r="Z23" s="54">
        <f t="shared" si="0"/>
        <v>15.316590909090909</v>
      </c>
      <c r="AA23" s="54">
        <f t="shared" si="0"/>
        <v>14.733409090909092</v>
      </c>
      <c r="AB23" s="8" t="str">
        <f>IF(AND(SUM(Income!E23:F23,Income!H23:I23,Income!K23:L23)-SUM(Income!N23:P23,Income!R23:T23,Income!V23)&lt;=0.0001,V23-SUM(X23:AA23)&lt;=0.0001),"✓", "✕")</f>
        <v>✓</v>
      </c>
    </row>
    <row r="24" spans="3:28" ht="12.6" x14ac:dyDescent="0.3">
      <c r="C24" s="34" t="s">
        <v>9</v>
      </c>
      <c r="D24" s="34"/>
      <c r="E24" s="51">
        <f>+E19-E23</f>
        <v>1.8041994909090917</v>
      </c>
      <c r="F24" s="51">
        <f>+F19-F23</f>
        <v>5.0620909090909088</v>
      </c>
      <c r="G24" s="51"/>
      <c r="H24" s="51">
        <f>+H19-H23</f>
        <v>-1.7414596000000024</v>
      </c>
      <c r="I24" s="51">
        <f>+I19-I23</f>
        <v>8.6077499999999958</v>
      </c>
      <c r="J24" s="51"/>
      <c r="K24" s="51">
        <f>+K19-K23</f>
        <v>-2.5045096000000004</v>
      </c>
      <c r="L24" s="51">
        <f>+L19-L23</f>
        <v>9.3708000000000027</v>
      </c>
      <c r="M24" s="51"/>
      <c r="N24" s="51">
        <f>+N19-N23</f>
        <v>6.3819374999999994</v>
      </c>
      <c r="O24" s="51">
        <f>+O19-O23</f>
        <v>7.3139333000000022</v>
      </c>
      <c r="P24" s="51">
        <f>+P19-P23</f>
        <v>-6.8295804000000011</v>
      </c>
      <c r="Q24" s="186"/>
      <c r="R24" s="51">
        <f>+R19-R23</f>
        <v>3.2259297760000027</v>
      </c>
      <c r="S24" s="51">
        <f>+S19-S23</f>
        <v>-2.1865599959999997</v>
      </c>
      <c r="T24" s="51">
        <f>+T19-T23</f>
        <v>5.8269206199999992</v>
      </c>
      <c r="U24" s="51"/>
      <c r="V24" s="51">
        <f>+V19-V23</f>
        <v>6.8662903999999898</v>
      </c>
      <c r="W24" s="186"/>
      <c r="X24" s="51">
        <f>+Income!X19-X23</f>
        <v>-2.5045096000000004</v>
      </c>
      <c r="Y24" s="51">
        <f>+Income!Y19-Y23</f>
        <v>0.76304999999999978</v>
      </c>
      <c r="Z24" s="51">
        <f>+Income!Z19-Z23</f>
        <v>3.545659090909087</v>
      </c>
      <c r="AA24" s="51">
        <f>+Income!AA19-AA23</f>
        <v>5.0620909090909088</v>
      </c>
      <c r="AB24" s="8" t="str">
        <f>IF(AND(SUM(Income!E24:F24,Income!H24:I24,Income!K24:L24)-SUM(Income!N24:P24,Income!R24:T24,Income!V24)&lt;=0.0001,V24-SUM(X24:AA24)&lt;=0.0001),"✓", "✕")</f>
        <v>✓</v>
      </c>
    </row>
    <row r="25" spans="3:28" ht="12.6" x14ac:dyDescent="0.3">
      <c r="C25" s="210" t="s">
        <v>31</v>
      </c>
      <c r="D25" s="30"/>
      <c r="E25" s="33">
        <f>+E24/E15</f>
        <v>3.736919846673592E-2</v>
      </c>
      <c r="F25" s="33">
        <f>+F24/F15</f>
        <v>0.25571927504184833</v>
      </c>
      <c r="G25" s="30"/>
      <c r="H25" s="33">
        <f>+H24/H15+0.0001</f>
        <v>-6.8751062875529775E-2</v>
      </c>
      <c r="I25" s="33">
        <f>+I24/I15+0.0001</f>
        <v>0.20129674401481898</v>
      </c>
      <c r="J25" s="30"/>
      <c r="K25" s="33">
        <f>+K24/K15+0.0001</f>
        <v>-0.16515863811409537</v>
      </c>
      <c r="L25" s="33">
        <f>+L24/L15+0.0001</f>
        <v>0.17717215310426151</v>
      </c>
      <c r="M25" s="30"/>
      <c r="N25" s="33">
        <f>+N24/N15</f>
        <v>0.24688107465111558</v>
      </c>
      <c r="O25" s="33">
        <f>+O24/O15</f>
        <v>0.3122286618963066</v>
      </c>
      <c r="P25" s="33">
        <f>+P24/P15</f>
        <v>-0.36326174924501808</v>
      </c>
      <c r="Q25" s="14"/>
      <c r="R25" s="33">
        <f>+R24/R15</f>
        <v>0.15788264157431672</v>
      </c>
      <c r="S25" s="33">
        <f>+S24/S15</f>
        <v>-0.10487407137939236</v>
      </c>
      <c r="T25" s="33">
        <f>+T24/T15</f>
        <v>0.21747068790153681</v>
      </c>
      <c r="U25" s="33"/>
      <c r="V25" s="33">
        <f>+V24/V15+0.0001</f>
        <v>0.1009622929447573</v>
      </c>
      <c r="W25" s="76"/>
      <c r="X25" s="33">
        <f>+X24/Income!X15</f>
        <v>-0.16525863811409536</v>
      </c>
      <c r="Y25" s="33">
        <f t="shared" ref="Y25:AA25" si="1">+Y24/Y15+0.0001</f>
        <v>7.5365953511770001E-2</v>
      </c>
      <c r="Z25" s="33">
        <f t="shared" si="1"/>
        <v>0.15434459606560538</v>
      </c>
      <c r="AA25" s="33">
        <f t="shared" si="1"/>
        <v>0.25581927504184832</v>
      </c>
      <c r="AB25" s="16"/>
    </row>
  </sheetData>
  <sheetProtection algorithmName="SHA-512" hashValue="/QIYFBlDxsp8ctVeFmUOheJyWhlTvd4rYW9tZDAt+VlqSXyl2APJPIcqdeDJ8oNbvCbOCpPzrPk9zdA/nkoGlw==" saltValue="Vo/ABRaAiYko1rZwFxDOYQ==" spinCount="100000" sheet="1" objects="1" scenarios="1" selectLockedCells="1" selectUnlockedCells="1"/>
  <mergeCells count="7">
    <mergeCell ref="X3:AA3"/>
    <mergeCell ref="R5:T5"/>
    <mergeCell ref="N5:P5"/>
    <mergeCell ref="H5:I5"/>
    <mergeCell ref="E5:F5"/>
    <mergeCell ref="K5:L5"/>
    <mergeCell ref="C2:E3"/>
  </mergeCells>
  <conditionalFormatting sqref="AB8:AB24">
    <cfRule type="expression" dxfId="0" priority="1">
      <formula>IF(AB8="✓",TRUE,FALSE)</formula>
    </cfRule>
  </conditionalFormatting>
  <printOptions horizontalCentered="1"/>
  <pageMargins left="0.5" right="0.5" top="0.75" bottom="0.5" header="0.3" footer="0.3"/>
  <pageSetup scale="83" orientation="landscape" r:id="rId1"/>
  <headerFooter scaleWithDoc="0" alignWithMargins="0">
    <oddFooter>&amp;L&amp;10Banking Strategy - Operating Income&amp;R&amp;10Updated &amp;D</oddFooter>
  </headerFooter>
  <colBreaks count="1" manualBreakCount="1">
    <brk id="13" min="1" max="24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EE77-DC20-458E-8AE9-2639413A7090}">
  <sheetPr>
    <tabColor rgb="FFEFD2D1"/>
    <pageSetUpPr fitToPage="1"/>
  </sheetPr>
  <dimension ref="A1:AA31"/>
  <sheetViews>
    <sheetView showGridLines="0" showRowColHeaders="0" showZeros="0" zoomScaleNormal="100" zoomScaleSheetLayoutView="70" workbookViewId="0"/>
  </sheetViews>
  <sheetFormatPr defaultColWidth="8.19921875" defaultRowHeight="13.8" x14ac:dyDescent="0.3"/>
  <cols>
    <col min="1" max="1" width="2.69921875" style="18" customWidth="1"/>
    <col min="2" max="2" width="2.796875" style="16" customWidth="1"/>
    <col min="3" max="3" width="19.296875" style="15" bestFit="1" customWidth="1"/>
    <col min="4" max="4" width="0.796875" style="19" customWidth="1"/>
    <col min="5" max="6" width="7" style="15" customWidth="1"/>
    <col min="7" max="7" width="1.19921875" style="16" customWidth="1"/>
    <col min="8" max="9" width="7" style="15" customWidth="1"/>
    <col min="10" max="10" width="1.19921875" style="16" customWidth="1"/>
    <col min="11" max="12" width="7" style="15" customWidth="1"/>
    <col min="13" max="13" width="1.19921875" style="16" customWidth="1"/>
    <col min="14" max="16" width="7" style="15" customWidth="1"/>
    <col min="17" max="17" width="1.19921875" style="16" customWidth="1"/>
    <col min="18" max="20" width="7" style="15" customWidth="1"/>
    <col min="21" max="21" width="1.19921875" style="16" customWidth="1"/>
    <col min="22" max="22" width="7" style="15" customWidth="1"/>
    <col min="23" max="23" width="1.19921875" style="16" customWidth="1"/>
    <col min="24" max="27" width="7" style="15" customWidth="1"/>
    <col min="28" max="16384" width="8.19921875" style="15"/>
  </cols>
  <sheetData>
    <row r="1" spans="1:27" s="5" customFormat="1" ht="10.199999999999999" x14ac:dyDescent="0.2">
      <c r="A1" s="21" t="s">
        <v>2</v>
      </c>
      <c r="B1" s="1"/>
      <c r="C1" s="1"/>
      <c r="D1" s="1"/>
      <c r="E1" s="1"/>
      <c r="F1" s="1"/>
      <c r="G1" s="1"/>
      <c r="H1" s="1"/>
      <c r="I1" s="3"/>
      <c r="W1" s="3"/>
      <c r="X1" s="3"/>
      <c r="Y1" s="3"/>
      <c r="Z1" s="3"/>
      <c r="AA1" s="3"/>
    </row>
    <row r="2" spans="1:27" s="12" customFormat="1" ht="16.8" customHeight="1" x14ac:dyDescent="0.25">
      <c r="A2" s="11"/>
      <c r="B2" s="11"/>
      <c r="C2" s="310" t="s">
        <v>104</v>
      </c>
      <c r="H2" s="16"/>
      <c r="K2" s="17"/>
      <c r="L2" s="17"/>
      <c r="N2" s="17"/>
      <c r="O2" s="17"/>
      <c r="P2" s="17"/>
    </row>
    <row r="3" spans="1:27" s="19" customFormat="1" ht="24" customHeight="1" x14ac:dyDescent="0.25">
      <c r="A3" s="18"/>
      <c r="B3" s="16"/>
      <c r="C3" s="310"/>
      <c r="D3" s="10"/>
      <c r="E3" s="10"/>
      <c r="F3" s="74"/>
      <c r="G3" s="43"/>
      <c r="H3" s="74"/>
      <c r="I3" s="74"/>
      <c r="J3" s="43"/>
      <c r="K3" s="74"/>
      <c r="L3" s="74"/>
      <c r="M3" s="43"/>
      <c r="N3" s="74"/>
      <c r="O3" s="74"/>
      <c r="P3" s="74"/>
      <c r="Q3" s="43"/>
      <c r="R3" s="74"/>
      <c r="S3" s="74"/>
      <c r="T3" s="74"/>
      <c r="U3" s="43"/>
      <c r="V3" s="74"/>
      <c r="W3" s="43"/>
      <c r="X3" s="424" t="s">
        <v>108</v>
      </c>
      <c r="Y3" s="424"/>
      <c r="Z3" s="424"/>
      <c r="AA3" s="424"/>
    </row>
    <row r="4" spans="1:27" s="36" customFormat="1" ht="13.2" x14ac:dyDescent="0.3">
      <c r="A4" s="18"/>
      <c r="B4" s="16"/>
      <c r="C4" s="38" t="s">
        <v>128</v>
      </c>
      <c r="D4" s="12"/>
      <c r="E4" s="44"/>
      <c r="F4" s="44"/>
      <c r="G4" s="44"/>
      <c r="H4" s="98"/>
      <c r="I4" s="99"/>
      <c r="J4" s="44"/>
      <c r="K4" s="99"/>
      <c r="L4" s="99"/>
      <c r="M4" s="44"/>
      <c r="N4" s="99"/>
      <c r="O4" s="99"/>
      <c r="P4" s="99"/>
      <c r="Q4" s="44"/>
      <c r="R4" s="99"/>
      <c r="S4" s="100"/>
      <c r="T4" s="101"/>
      <c r="U4" s="44"/>
      <c r="V4" s="101"/>
      <c r="W4" s="44"/>
      <c r="X4" s="197" t="s">
        <v>39</v>
      </c>
      <c r="Y4" s="197" t="s">
        <v>39</v>
      </c>
      <c r="Z4" s="197" t="s">
        <v>39</v>
      </c>
      <c r="AA4" s="97" t="s">
        <v>32</v>
      </c>
    </row>
    <row r="5" spans="1:27" s="60" customFormat="1" ht="12.6" x14ac:dyDescent="0.3">
      <c r="A5" s="58"/>
      <c r="B5" s="59"/>
      <c r="D5" s="61"/>
      <c r="E5" s="425" t="s">
        <v>33</v>
      </c>
      <c r="F5" s="425"/>
      <c r="G5" s="34"/>
      <c r="H5" s="425" t="s">
        <v>20</v>
      </c>
      <c r="I5" s="425"/>
      <c r="J5" s="34"/>
      <c r="K5" s="425" t="s">
        <v>21</v>
      </c>
      <c r="L5" s="425"/>
      <c r="M5" s="34"/>
      <c r="N5" s="425" t="s">
        <v>35</v>
      </c>
      <c r="O5" s="425"/>
      <c r="P5" s="425"/>
      <c r="Q5" s="34"/>
      <c r="R5" s="425" t="s">
        <v>22</v>
      </c>
      <c r="S5" s="425"/>
      <c r="T5" s="425"/>
      <c r="U5" s="34"/>
      <c r="V5" s="77"/>
      <c r="W5" s="34"/>
      <c r="X5" s="66" t="s">
        <v>77</v>
      </c>
      <c r="Y5" s="78" t="s">
        <v>77</v>
      </c>
      <c r="Z5" s="79" t="s">
        <v>76</v>
      </c>
      <c r="AA5" s="80" t="s">
        <v>76</v>
      </c>
    </row>
    <row r="6" spans="1:27" s="57" customFormat="1" ht="12.6" x14ac:dyDescent="0.3">
      <c r="A6" s="18"/>
      <c r="B6" s="16"/>
      <c r="D6" s="46"/>
      <c r="E6" s="196" t="s">
        <v>39</v>
      </c>
      <c r="F6" s="81" t="s">
        <v>32</v>
      </c>
      <c r="G6" s="35"/>
      <c r="H6" s="82" t="s">
        <v>77</v>
      </c>
      <c r="I6" s="83" t="s">
        <v>76</v>
      </c>
      <c r="J6" s="35"/>
      <c r="K6" s="84" t="s">
        <v>5</v>
      </c>
      <c r="L6" s="85" t="s">
        <v>4</v>
      </c>
      <c r="M6" s="35"/>
      <c r="N6" s="86" t="s">
        <v>80</v>
      </c>
      <c r="O6" s="87" t="s">
        <v>81</v>
      </c>
      <c r="P6" s="88" t="s">
        <v>82</v>
      </c>
      <c r="Q6" s="35"/>
      <c r="R6" s="89" t="s">
        <v>95</v>
      </c>
      <c r="S6" s="90" t="s">
        <v>86</v>
      </c>
      <c r="T6" s="91" t="s">
        <v>97</v>
      </c>
      <c r="U6" s="35"/>
      <c r="V6" s="92" t="s">
        <v>10</v>
      </c>
      <c r="W6" s="35"/>
      <c r="X6" s="93" t="s">
        <v>5</v>
      </c>
      <c r="Y6" s="94" t="s">
        <v>4</v>
      </c>
      <c r="Z6" s="95" t="s">
        <v>4</v>
      </c>
      <c r="AA6" s="96" t="s">
        <v>4</v>
      </c>
    </row>
    <row r="7" spans="1:27" s="19" customFormat="1" ht="6" customHeight="1" x14ac:dyDescent="0.25">
      <c r="A7" s="18"/>
      <c r="B7" s="16"/>
      <c r="G7" s="62"/>
      <c r="J7" s="62"/>
      <c r="M7" s="62"/>
      <c r="Q7" s="62"/>
      <c r="U7" s="62"/>
      <c r="W7" s="62"/>
    </row>
    <row r="8" spans="1:27" s="235" customFormat="1" ht="15" x14ac:dyDescent="0.35">
      <c r="A8" s="40"/>
      <c r="B8" s="41"/>
      <c r="C8" s="238" t="s">
        <v>75</v>
      </c>
      <c r="E8" s="56"/>
      <c r="F8" s="56"/>
      <c r="G8" s="30"/>
      <c r="H8" s="56"/>
      <c r="I8" s="56"/>
      <c r="J8" s="30"/>
      <c r="K8" s="56"/>
      <c r="L8" s="56"/>
      <c r="M8" s="30"/>
      <c r="N8" s="56"/>
      <c r="O8" s="56"/>
      <c r="P8" s="56"/>
      <c r="Q8" s="30"/>
      <c r="R8" s="56"/>
      <c r="S8" s="56"/>
      <c r="T8" s="56"/>
      <c r="U8" s="30"/>
      <c r="V8" s="56"/>
      <c r="W8" s="30"/>
      <c r="X8" s="56"/>
      <c r="Y8" s="56"/>
      <c r="Z8" s="56"/>
      <c r="AA8" s="56"/>
    </row>
    <row r="9" spans="1:27" s="235" customFormat="1" ht="12.6" x14ac:dyDescent="0.3">
      <c r="A9" s="40"/>
      <c r="B9" s="41"/>
      <c r="C9" s="202" t="s">
        <v>25</v>
      </c>
      <c r="D9" s="56"/>
      <c r="E9" s="219">
        <f>(Income!V8)</f>
        <v>500</v>
      </c>
      <c r="F9" s="219"/>
      <c r="G9" s="32"/>
      <c r="H9" s="219">
        <f>(Income!H8)</f>
        <v>250</v>
      </c>
      <c r="I9" s="219">
        <f>(Income!I8)</f>
        <v>250</v>
      </c>
      <c r="J9" s="32"/>
      <c r="K9" s="219">
        <f>(Income!K8)</f>
        <v>150</v>
      </c>
      <c r="L9" s="219">
        <f>(Income!L8)</f>
        <v>350</v>
      </c>
      <c r="M9" s="32"/>
      <c r="N9" s="219">
        <f>(Income!N8)</f>
        <v>162.5</v>
      </c>
      <c r="O9" s="219">
        <f>(Income!O8)</f>
        <v>179.77199999999999</v>
      </c>
      <c r="P9" s="219">
        <f>(Income!P8)</f>
        <v>157.72800000000001</v>
      </c>
      <c r="Q9" s="32"/>
      <c r="R9" s="219">
        <f>(Income!R8)</f>
        <v>159</v>
      </c>
      <c r="S9" s="219">
        <f>(Income!S8)</f>
        <v>186.5</v>
      </c>
      <c r="T9" s="219">
        <f>(Income!T8)</f>
        <v>154.5</v>
      </c>
      <c r="U9" s="32"/>
      <c r="V9" s="219">
        <f>(Income!V8)</f>
        <v>500</v>
      </c>
      <c r="W9" s="32"/>
      <c r="X9" s="219">
        <f>(Income!X8)</f>
        <v>150</v>
      </c>
      <c r="Y9" s="219">
        <f>(Income!Y8)</f>
        <v>100</v>
      </c>
      <c r="Z9" s="219">
        <f>(Income!Z8)</f>
        <v>250</v>
      </c>
      <c r="AA9" s="219"/>
    </row>
    <row r="10" spans="1:27" s="235" customFormat="1" ht="12.6" x14ac:dyDescent="0.3">
      <c r="A10" s="40"/>
      <c r="B10" s="41"/>
      <c r="C10" s="199" t="s">
        <v>204</v>
      </c>
      <c r="D10" s="236"/>
      <c r="E10" s="106">
        <f>SUM(Income!E12:E13)</f>
        <v>11.697044</v>
      </c>
      <c r="F10" s="426" t="s">
        <v>129</v>
      </c>
      <c r="G10" s="50"/>
      <c r="H10" s="106">
        <f>SUM(Income!H12:H13)</f>
        <v>5.8295440000000003</v>
      </c>
      <c r="I10" s="106">
        <f>SUM(Income!I12:I13)</f>
        <v>5.8674999999999997</v>
      </c>
      <c r="J10" s="50"/>
      <c r="K10" s="106">
        <f>SUM(Income!K12:K13)</f>
        <v>3.4885440000000001</v>
      </c>
      <c r="L10" s="106">
        <f>SUM(Income!L12:L13)</f>
        <v>8.2085000000000008</v>
      </c>
      <c r="M10" s="50"/>
      <c r="N10" s="106">
        <f>SUM(Income!N12:N13)</f>
        <v>3.5750000000000002</v>
      </c>
      <c r="O10" s="106">
        <f>SUM(Income!O12:O13)</f>
        <v>4.4943</v>
      </c>
      <c r="P10" s="106">
        <f>SUM(Income!P12:P13)</f>
        <v>3.6277439999999999</v>
      </c>
      <c r="Q10" s="50"/>
      <c r="R10" s="106">
        <f>SUM(Income!R12:R13)</f>
        <v>3.71598936</v>
      </c>
      <c r="S10" s="106">
        <f>SUM(Income!S12:S13)</f>
        <v>4.3664464400000007</v>
      </c>
      <c r="T10" s="106">
        <f>SUM(Income!T12:T13)</f>
        <v>3.6146082000000002</v>
      </c>
      <c r="U10" s="50"/>
      <c r="V10" s="106">
        <f>SUM(Income!V12:V13)</f>
        <v>11.697044</v>
      </c>
      <c r="W10" s="50"/>
      <c r="X10" s="106">
        <f>SUM(Income!X12:X13)</f>
        <v>3.4885440000000001</v>
      </c>
      <c r="Y10" s="106">
        <f>SUM(Income!Y12:Y13)</f>
        <v>2.3410000000000002</v>
      </c>
      <c r="Z10" s="106">
        <f>SUM(Income!Z12:Z13)</f>
        <v>5.8674999999999997</v>
      </c>
      <c r="AA10" s="426" t="s">
        <v>129</v>
      </c>
    </row>
    <row r="11" spans="1:27" s="235" customFormat="1" ht="12.6" x14ac:dyDescent="0.3">
      <c r="A11" s="44"/>
      <c r="B11" s="41"/>
      <c r="C11" s="217" t="s">
        <v>213</v>
      </c>
      <c r="D11" s="236"/>
      <c r="E11" s="218">
        <f>-SUM(Income!E16:E17)</f>
        <v>-8.2886400000000009</v>
      </c>
      <c r="F11" s="427"/>
      <c r="G11" s="50"/>
      <c r="H11" s="218">
        <f>-SUM(Income!H16:H17)</f>
        <v>-4.16364</v>
      </c>
      <c r="I11" s="218">
        <f>-SUM(Income!I16:I17)</f>
        <v>-4.125</v>
      </c>
      <c r="J11" s="50"/>
      <c r="K11" s="218">
        <f>-SUM(Income!K16:K17)</f>
        <v>-2.49864</v>
      </c>
      <c r="L11" s="218">
        <f>-SUM(Income!L16:L17)</f>
        <v>-5.79</v>
      </c>
      <c r="M11" s="50"/>
      <c r="N11" s="218">
        <f>-SUM(Income!N16:N17)</f>
        <v>-2.4375</v>
      </c>
      <c r="O11" s="218">
        <f>-SUM(Income!O16:O17)</f>
        <v>-2.69658</v>
      </c>
      <c r="P11" s="218">
        <f>-SUM(Income!P16:P17)</f>
        <v>-3.15456</v>
      </c>
      <c r="Q11" s="50"/>
      <c r="R11" s="218">
        <f>-SUM(Income!R16:R17)</f>
        <v>-2.6381016000000002</v>
      </c>
      <c r="S11" s="218">
        <f>-SUM(Income!S16:S17)</f>
        <v>-3.0893964</v>
      </c>
      <c r="T11" s="218">
        <f>-SUM(Income!T16:T17)</f>
        <v>-2.5611419999999998</v>
      </c>
      <c r="U11" s="50"/>
      <c r="V11" s="218">
        <f>-SUM(Income!V16:V17)</f>
        <v>-8.2886400000000009</v>
      </c>
      <c r="W11" s="50"/>
      <c r="X11" s="218">
        <f>-SUM(Income!X16:X17)</f>
        <v>-2.49864</v>
      </c>
      <c r="Y11" s="218">
        <f>-SUM(Income!Y16:Y17)</f>
        <v>-1.665</v>
      </c>
      <c r="Z11" s="218">
        <f>-SUM(Income!Z16:Z17)</f>
        <v>-4.125</v>
      </c>
      <c r="AA11" s="427"/>
    </row>
    <row r="12" spans="1:27" s="235" customFormat="1" ht="12.6" x14ac:dyDescent="0.3">
      <c r="A12" s="40"/>
      <c r="B12" s="41"/>
      <c r="C12" s="214" t="s">
        <v>206</v>
      </c>
      <c r="D12" s="237"/>
      <c r="E12" s="48">
        <f>SUM(E10:E11)</f>
        <v>3.4084039999999991</v>
      </c>
      <c r="F12" s="428" t="s">
        <v>129</v>
      </c>
      <c r="G12" s="50"/>
      <c r="H12" s="48">
        <f t="shared" ref="H12:I12" si="0">SUM(H10:H11)</f>
        <v>1.6659040000000003</v>
      </c>
      <c r="I12" s="48">
        <f t="shared" si="0"/>
        <v>1.7424999999999997</v>
      </c>
      <c r="J12" s="50"/>
      <c r="K12" s="48">
        <f t="shared" ref="K12:L12" si="1">SUM(K10:K11)</f>
        <v>0.98990400000000012</v>
      </c>
      <c r="L12" s="48">
        <f t="shared" si="1"/>
        <v>2.4185000000000008</v>
      </c>
      <c r="M12" s="50"/>
      <c r="N12" s="48">
        <f>SUM(N10:N11)</f>
        <v>1.1375000000000002</v>
      </c>
      <c r="O12" s="48">
        <f>SUM(O10:O11)</f>
        <v>1.79772</v>
      </c>
      <c r="P12" s="48">
        <f>SUM(P10:P11)</f>
        <v>0.47318399999999983</v>
      </c>
      <c r="Q12" s="50"/>
      <c r="R12" s="48">
        <f t="shared" ref="R12:T12" si="2">SUM(R10:R11)</f>
        <v>1.0778877599999999</v>
      </c>
      <c r="S12" s="48">
        <f t="shared" si="2"/>
        <v>1.2770500400000007</v>
      </c>
      <c r="T12" s="48">
        <f t="shared" si="2"/>
        <v>1.0534662000000004</v>
      </c>
      <c r="U12" s="50"/>
      <c r="V12" s="48">
        <f>SUM(V10:V11)</f>
        <v>3.4084039999999991</v>
      </c>
      <c r="W12" s="50"/>
      <c r="X12" s="48">
        <f t="shared" ref="X12:Z12" si="3">SUM(X10:X11)</f>
        <v>0.98990400000000012</v>
      </c>
      <c r="Y12" s="48">
        <f t="shared" si="3"/>
        <v>0.67600000000000016</v>
      </c>
      <c r="Z12" s="48">
        <f t="shared" si="3"/>
        <v>1.7424999999999997</v>
      </c>
      <c r="AA12" s="428" t="s">
        <v>129</v>
      </c>
    </row>
    <row r="13" spans="1:27" s="235" customFormat="1" ht="12.6" x14ac:dyDescent="0.3">
      <c r="A13" s="40"/>
      <c r="B13" s="41"/>
      <c r="C13" s="201" t="s">
        <v>135</v>
      </c>
      <c r="D13" s="47"/>
      <c r="E13" s="47">
        <f>E12/(E9/1000)</f>
        <v>6.8168079999999982</v>
      </c>
      <c r="F13" s="428"/>
      <c r="G13" s="51"/>
      <c r="H13" s="47">
        <f>H12/(H9/1000)</f>
        <v>6.6636160000000011</v>
      </c>
      <c r="I13" s="47">
        <f>I12/(I9/1000)</f>
        <v>6.9699999999999989</v>
      </c>
      <c r="J13" s="51"/>
      <c r="K13" s="47">
        <f>K12/(K9/1000)</f>
        <v>6.5993600000000008</v>
      </c>
      <c r="L13" s="47">
        <f>L12/(L9/1000)</f>
        <v>6.9100000000000028</v>
      </c>
      <c r="M13" s="51"/>
      <c r="N13" s="47">
        <f>N12/(N9/1000)</f>
        <v>7.0000000000000009</v>
      </c>
      <c r="O13" s="47">
        <f>O12/(O9/1000)</f>
        <v>10</v>
      </c>
      <c r="P13" s="47">
        <f>P12/(P9/1000)</f>
        <v>2.9999999999999987</v>
      </c>
      <c r="Q13" s="51"/>
      <c r="R13" s="47">
        <f>R12/(R9/1000)</f>
        <v>6.7791683018867914</v>
      </c>
      <c r="S13" s="47">
        <f>S12/(S9/1000)</f>
        <v>6.8474532975871352</v>
      </c>
      <c r="T13" s="47">
        <f>T12/(T9/1000)</f>
        <v>6.8185514563106819</v>
      </c>
      <c r="U13" s="51"/>
      <c r="V13" s="47">
        <f>V12/(V9/1000)</f>
        <v>6.8168079999999982</v>
      </c>
      <c r="W13" s="51"/>
      <c r="X13" s="47">
        <f>X12/(X9/1000)</f>
        <v>6.5993600000000008</v>
      </c>
      <c r="Y13" s="47">
        <f>Y12/(Y9/1000)</f>
        <v>6.7600000000000016</v>
      </c>
      <c r="Z13" s="47">
        <f>Z12/(Z9/1000)</f>
        <v>6.9699999999999989</v>
      </c>
      <c r="AA13" s="428"/>
    </row>
    <row r="14" spans="1:27" s="74" customFormat="1" ht="7.2" customHeight="1" x14ac:dyDescent="0.3">
      <c r="A14" s="40"/>
      <c r="B14" s="41"/>
      <c r="G14" s="51"/>
      <c r="J14" s="51"/>
      <c r="M14" s="51"/>
      <c r="Q14" s="51"/>
      <c r="U14" s="51"/>
      <c r="W14" s="51"/>
    </row>
    <row r="15" spans="1:27" s="235" customFormat="1" ht="15" x14ac:dyDescent="0.35">
      <c r="A15" s="40"/>
      <c r="B15" s="41"/>
      <c r="C15" s="238" t="s">
        <v>203</v>
      </c>
      <c r="E15" s="56"/>
      <c r="F15" s="56"/>
      <c r="G15" s="30"/>
      <c r="H15" s="56"/>
      <c r="I15" s="56"/>
      <c r="J15" s="30"/>
      <c r="K15" s="56"/>
      <c r="L15" s="56"/>
      <c r="M15" s="30"/>
      <c r="N15" s="56"/>
      <c r="O15" s="56"/>
      <c r="P15" s="56"/>
      <c r="Q15" s="30"/>
      <c r="R15" s="56"/>
      <c r="S15" s="56"/>
      <c r="T15" s="56"/>
      <c r="U15" s="30"/>
      <c r="V15" s="56"/>
      <c r="W15" s="30"/>
      <c r="X15" s="56"/>
      <c r="Y15" s="56"/>
      <c r="Z15" s="56"/>
      <c r="AA15" s="56"/>
    </row>
    <row r="16" spans="1:27" s="235" customFormat="1" ht="12.6" x14ac:dyDescent="0.3">
      <c r="A16" s="40"/>
      <c r="B16" s="41"/>
      <c r="C16" s="202" t="s">
        <v>29</v>
      </c>
      <c r="D16" s="56"/>
      <c r="E16" s="219">
        <f>SUM(Income!E8:E9)</f>
        <v>500</v>
      </c>
      <c r="F16" s="219">
        <f>SUM(Income!F8:F9)</f>
        <v>300</v>
      </c>
      <c r="G16" s="32"/>
      <c r="H16" s="219">
        <f>SUM(Income!H8:H9)</f>
        <v>250</v>
      </c>
      <c r="I16" s="219">
        <f>SUM(Income!I8:I9)</f>
        <v>550</v>
      </c>
      <c r="J16" s="32"/>
      <c r="K16" s="219">
        <f>SUM(Income!K8:K9)</f>
        <v>150</v>
      </c>
      <c r="L16" s="219">
        <f>SUM(Income!L8:L9)</f>
        <v>650</v>
      </c>
      <c r="M16" s="32"/>
      <c r="N16" s="219">
        <f>SUM(Income!N8:N9)</f>
        <v>342.5</v>
      </c>
      <c r="O16" s="219">
        <f>SUM(Income!O8:O9)</f>
        <v>269.77199999999999</v>
      </c>
      <c r="P16" s="219">
        <f>SUM(Income!P8:P9)</f>
        <v>187.72800000000001</v>
      </c>
      <c r="Q16" s="32"/>
      <c r="R16" s="219">
        <f>SUM(Income!R8:R9)</f>
        <v>234</v>
      </c>
      <c r="S16" s="219">
        <f>SUM(Income!S8:S9)</f>
        <v>231.5</v>
      </c>
      <c r="T16" s="219">
        <f>SUM(Income!T8:T9)</f>
        <v>334.5</v>
      </c>
      <c r="U16" s="32"/>
      <c r="V16" s="219">
        <f>SUM(Income!V8:V9)</f>
        <v>800</v>
      </c>
      <c r="W16" s="32"/>
      <c r="X16" s="219">
        <f>SUM(Income!X8:X9)</f>
        <v>150</v>
      </c>
      <c r="Y16" s="219">
        <f>SUM(Income!Y8:Y9)</f>
        <v>100</v>
      </c>
      <c r="Z16" s="219">
        <f>SUM(Income!Z8:Z9)</f>
        <v>250</v>
      </c>
      <c r="AA16" s="219">
        <f>SUM(Income!AA8:AA9)</f>
        <v>300</v>
      </c>
    </row>
    <row r="17" spans="1:27" s="235" customFormat="1" ht="12.6" x14ac:dyDescent="0.3">
      <c r="A17" s="40"/>
      <c r="B17" s="41"/>
      <c r="C17" s="202" t="s">
        <v>23</v>
      </c>
      <c r="D17" s="56"/>
      <c r="E17" s="107">
        <f>Income!E15</f>
        <v>48.280390400000002</v>
      </c>
      <c r="F17" s="107">
        <f>Income!F15</f>
        <v>19.795500000000001</v>
      </c>
      <c r="G17" s="50"/>
      <c r="H17" s="107">
        <f>Income!H15</f>
        <v>25.293140399999999</v>
      </c>
      <c r="I17" s="107">
        <f>Income!I15</f>
        <v>42.782749999999993</v>
      </c>
      <c r="J17" s="50"/>
      <c r="K17" s="107">
        <f>Income!K15</f>
        <v>15.155090399999999</v>
      </c>
      <c r="L17" s="107">
        <f>Income!L15</f>
        <v>52.9208</v>
      </c>
      <c r="M17" s="50"/>
      <c r="N17" s="107">
        <f>Income!N15</f>
        <v>25.850249999999996</v>
      </c>
      <c r="O17" s="107">
        <f>Income!O15</f>
        <v>23.424926000000003</v>
      </c>
      <c r="P17" s="107">
        <f>Income!P15</f>
        <v>18.8007144</v>
      </c>
      <c r="Q17" s="50"/>
      <c r="R17" s="107">
        <f>Income!R15</f>
        <v>20.432453776000003</v>
      </c>
      <c r="S17" s="107">
        <f>Income!S15</f>
        <v>20.849386003999996</v>
      </c>
      <c r="T17" s="107">
        <f>Income!T15</f>
        <v>26.79405062</v>
      </c>
      <c r="U17" s="50"/>
      <c r="V17" s="107">
        <f>Income!V15</f>
        <v>68.075890399999992</v>
      </c>
      <c r="W17" s="50"/>
      <c r="X17" s="107">
        <f>Income!X15</f>
        <v>15.155090399999999</v>
      </c>
      <c r="Y17" s="107">
        <f>Income!Y15</f>
        <v>10.13805</v>
      </c>
      <c r="Z17" s="107">
        <f>Income!Z15</f>
        <v>22.987249999999996</v>
      </c>
      <c r="AA17" s="107">
        <f>Income!AA15</f>
        <v>19.795500000000001</v>
      </c>
    </row>
    <row r="18" spans="1:27" s="235" customFormat="1" ht="12.6" x14ac:dyDescent="0.3">
      <c r="A18" s="40"/>
      <c r="B18" s="41"/>
      <c r="C18" s="200" t="s">
        <v>130</v>
      </c>
      <c r="E18" s="107">
        <f>-Income!E18</f>
        <v>-8.2886400000000009</v>
      </c>
      <c r="F18" s="107">
        <f>-Income!F18</f>
        <v>0</v>
      </c>
      <c r="G18" s="50"/>
      <c r="H18" s="107">
        <f>-Income!H18</f>
        <v>-4.16364</v>
      </c>
      <c r="I18" s="107">
        <f>-Income!I18</f>
        <v>-4.125</v>
      </c>
      <c r="J18" s="50"/>
      <c r="K18" s="107">
        <f>-Income!K18</f>
        <v>-2.49864</v>
      </c>
      <c r="L18" s="107">
        <f>-Income!L18</f>
        <v>-5.79</v>
      </c>
      <c r="M18" s="50"/>
      <c r="N18" s="107">
        <f>-Income!N18</f>
        <v>-2.4375</v>
      </c>
      <c r="O18" s="107">
        <f>-Income!O18</f>
        <v>-2.69658</v>
      </c>
      <c r="P18" s="107">
        <f>-Income!P18</f>
        <v>-3.15456</v>
      </c>
      <c r="Q18" s="50"/>
      <c r="R18" s="107">
        <f>-Income!R18</f>
        <v>-2.6381016000000002</v>
      </c>
      <c r="S18" s="107">
        <f>-Income!S18</f>
        <v>-3.0893964</v>
      </c>
      <c r="T18" s="107">
        <f>-Income!T18</f>
        <v>-2.5611419999999998</v>
      </c>
      <c r="U18" s="50"/>
      <c r="V18" s="107">
        <f>-Income!V18</f>
        <v>-8.2886400000000009</v>
      </c>
      <c r="W18" s="50"/>
      <c r="X18" s="107">
        <f>-Income!X18</f>
        <v>-2.49864</v>
      </c>
      <c r="Y18" s="107">
        <f>-Income!Y18</f>
        <v>-1.665</v>
      </c>
      <c r="Z18" s="107">
        <f>-Income!Z18</f>
        <v>-4.125</v>
      </c>
      <c r="AA18" s="107">
        <f>-Income!AA18</f>
        <v>0</v>
      </c>
    </row>
    <row r="19" spans="1:27" s="235" customFormat="1" ht="12.6" x14ac:dyDescent="0.3">
      <c r="A19" s="40"/>
      <c r="B19" s="41"/>
      <c r="C19" s="203" t="s">
        <v>131</v>
      </c>
      <c r="E19" s="109">
        <f>-Income!E20</f>
        <v>-26.040959999999998</v>
      </c>
      <c r="F19" s="109">
        <f>-Income!F20</f>
        <v>-11.1</v>
      </c>
      <c r="G19" s="50"/>
      <c r="H19" s="109">
        <f>-Income!H20</f>
        <v>-13.29096</v>
      </c>
      <c r="I19" s="109">
        <f>-Income!I20</f>
        <v>-23.849999999999998</v>
      </c>
      <c r="J19" s="50"/>
      <c r="K19" s="109">
        <f>-Income!K20</f>
        <v>-7.9809599999999996</v>
      </c>
      <c r="L19" s="109">
        <f>-Income!L20</f>
        <v>-29.159999999999997</v>
      </c>
      <c r="M19" s="50"/>
      <c r="N19" s="109">
        <f>-Income!N20</f>
        <v>-10.274999999999999</v>
      </c>
      <c r="O19" s="109">
        <f>-Income!O20</f>
        <v>-8.093160000000001</v>
      </c>
      <c r="P19" s="109">
        <f>-Income!P20</f>
        <v>-18.7728</v>
      </c>
      <c r="Q19" s="50"/>
      <c r="R19" s="109">
        <f>-Income!R20</f>
        <v>-11.088422400000001</v>
      </c>
      <c r="S19" s="109">
        <f>-Income!S20</f>
        <v>-11.346549599999999</v>
      </c>
      <c r="T19" s="109">
        <f>-Income!T20</f>
        <v>-14.705988000000001</v>
      </c>
      <c r="U19" s="50"/>
      <c r="V19" s="109">
        <f>-Income!V20</f>
        <v>-37.14096</v>
      </c>
      <c r="W19" s="50"/>
      <c r="X19" s="109">
        <f>-Income!X20</f>
        <v>-7.9809599999999996</v>
      </c>
      <c r="Y19" s="109">
        <f>-Income!Y20</f>
        <v>-5.3100000000000005</v>
      </c>
      <c r="Z19" s="109">
        <f>-Income!Z20</f>
        <v>-12.75</v>
      </c>
      <c r="AA19" s="109">
        <f>-Income!AA20</f>
        <v>-11.1</v>
      </c>
    </row>
    <row r="20" spans="1:27" s="235" customFormat="1" ht="12.6" x14ac:dyDescent="0.3">
      <c r="A20" s="40"/>
      <c r="B20" s="41"/>
      <c r="C20" s="213" t="s">
        <v>136</v>
      </c>
      <c r="E20" s="55">
        <f>SUM(E17:E19)</f>
        <v>13.950790400000002</v>
      </c>
      <c r="F20" s="55">
        <f>SUM(F17:F19)</f>
        <v>8.6955000000000009</v>
      </c>
      <c r="G20" s="50"/>
      <c r="H20" s="55">
        <f>SUM(H17:H19)</f>
        <v>7.8385403999999976</v>
      </c>
      <c r="I20" s="55">
        <f>SUM(I17:I19)</f>
        <v>14.807749999999995</v>
      </c>
      <c r="J20" s="50"/>
      <c r="K20" s="55">
        <f>SUM(K17:K19)</f>
        <v>4.6754903999999993</v>
      </c>
      <c r="L20" s="55">
        <f>SUM(L17:L19)</f>
        <v>17.970800000000004</v>
      </c>
      <c r="M20" s="50"/>
      <c r="N20" s="55">
        <f>SUM(N17:N19)</f>
        <v>13.137749999999997</v>
      </c>
      <c r="O20" s="55">
        <f>SUM(O17:O19)</f>
        <v>12.635186000000001</v>
      </c>
      <c r="P20" s="55">
        <f>SUM(P17:P19)</f>
        <v>-3.1266455999999998</v>
      </c>
      <c r="Q20" s="50"/>
      <c r="R20" s="55">
        <f>SUM(R17:R19)</f>
        <v>6.7059297760000032</v>
      </c>
      <c r="S20" s="55">
        <f>SUM(S17:S19)</f>
        <v>6.4134400039999981</v>
      </c>
      <c r="T20" s="55">
        <f>SUM(T17:T19)</f>
        <v>9.5269206199999985</v>
      </c>
      <c r="U20" s="50"/>
      <c r="V20" s="55">
        <f>SUM(V17:V19)</f>
        <v>22.646290399999991</v>
      </c>
      <c r="W20" s="50"/>
      <c r="X20" s="55">
        <f>SUM(X17:X19)</f>
        <v>4.6754903999999993</v>
      </c>
      <c r="Y20" s="55">
        <f>SUM(Y17:Y19)</f>
        <v>3.1630500000000001</v>
      </c>
      <c r="Z20" s="55">
        <f>SUM(Z17:Z19)</f>
        <v>6.112249999999996</v>
      </c>
      <c r="AA20" s="55">
        <f>SUM(AA17:AA19)</f>
        <v>8.6955000000000009</v>
      </c>
    </row>
    <row r="21" spans="1:27" s="74" customFormat="1" ht="12.6" x14ac:dyDescent="0.3">
      <c r="A21" s="40"/>
      <c r="B21" s="41"/>
      <c r="C21" s="204" t="s">
        <v>132</v>
      </c>
      <c r="E21" s="108">
        <f>SUM(Income!E21:E22)</f>
        <v>12.146590909090909</v>
      </c>
      <c r="F21" s="108">
        <f>SUM(Income!F21:F22)</f>
        <v>3.6334090909090908</v>
      </c>
      <c r="G21" s="50"/>
      <c r="H21" s="108">
        <f>SUM(Income!H21:H22)</f>
        <v>9.58</v>
      </c>
      <c r="I21" s="108">
        <f>SUM(Income!I21:I22)</f>
        <v>6.2</v>
      </c>
      <c r="J21" s="50"/>
      <c r="K21" s="108">
        <f>SUM(Income!K21:K22)</f>
        <v>7.18</v>
      </c>
      <c r="L21" s="108">
        <f>SUM(Income!L21:L22)</f>
        <v>8.6</v>
      </c>
      <c r="M21" s="50"/>
      <c r="N21" s="108">
        <f>SUM(Income!N21:N22)</f>
        <v>6.7558124999999993</v>
      </c>
      <c r="O21" s="108">
        <f>SUM(Income!O21:O22)</f>
        <v>5.3212527000000005</v>
      </c>
      <c r="P21" s="108">
        <f>SUM(Income!P21:P22)</f>
        <v>3.7029348000000004</v>
      </c>
      <c r="Q21" s="50"/>
      <c r="R21" s="108">
        <f>SUM(Income!R21:R22)</f>
        <v>3.48</v>
      </c>
      <c r="S21" s="108">
        <f>SUM(Income!S21:S22)</f>
        <v>8.6</v>
      </c>
      <c r="T21" s="108">
        <f>SUM(Income!T21:T22)</f>
        <v>3.7</v>
      </c>
      <c r="U21" s="50"/>
      <c r="V21" s="108">
        <f>SUM(Income!V21:V22)</f>
        <v>15.780000000000001</v>
      </c>
      <c r="W21" s="50"/>
      <c r="X21" s="108">
        <f>SUM(Income!X21:X22)</f>
        <v>7.18</v>
      </c>
      <c r="Y21" s="108">
        <f>SUM(Income!Y21:Y22)</f>
        <v>2.4000000000000004</v>
      </c>
      <c r="Z21" s="108">
        <f>SUM(Income!Z21:Z22)</f>
        <v>2.5665909090909094</v>
      </c>
      <c r="AA21" s="108">
        <f>SUM(Income!AA21:AA22)</f>
        <v>3.6334090909090908</v>
      </c>
    </row>
    <row r="22" spans="1:27" s="74" customFormat="1" ht="12.6" x14ac:dyDescent="0.3">
      <c r="A22" s="40"/>
      <c r="B22" s="41"/>
      <c r="C22" s="214" t="s">
        <v>205</v>
      </c>
      <c r="E22" s="63">
        <f>E21/E20*E16</f>
        <v>435.337015352582</v>
      </c>
      <c r="F22" s="63">
        <f>F21/F20*F16</f>
        <v>125.35480734549218</v>
      </c>
      <c r="G22" s="51"/>
      <c r="H22" s="63">
        <f>H21/H20*H16</f>
        <v>305.5415776130975</v>
      </c>
      <c r="I22" s="63">
        <f>I21/I20*I16</f>
        <v>230.28481707214135</v>
      </c>
      <c r="J22" s="51"/>
      <c r="K22" s="63">
        <f>K21/K20*K16</f>
        <v>230.35016818770501</v>
      </c>
      <c r="L22" s="63">
        <f>L21/L20*L16</f>
        <v>311.06016426647665</v>
      </c>
      <c r="M22" s="51"/>
      <c r="N22" s="63">
        <f t="shared" ref="N22:R22" si="4">N21/N20*N16</f>
        <v>176.12344436832794</v>
      </c>
      <c r="O22" s="63">
        <f t="shared" si="4"/>
        <v>113.61328463106123</v>
      </c>
      <c r="P22" s="63">
        <f t="shared" si="4"/>
        <v>-222.32917735684538</v>
      </c>
      <c r="Q22" s="63" t="e">
        <f t="shared" si="4"/>
        <v>#DIV/0!</v>
      </c>
      <c r="R22" s="63">
        <f t="shared" si="4"/>
        <v>121.43282545462785</v>
      </c>
      <c r="S22" s="63">
        <f t="shared" ref="S22:T22" si="5">S21/S20*S16</f>
        <v>310.42622972356418</v>
      </c>
      <c r="T22" s="63">
        <f t="shared" si="5"/>
        <v>129.91081267138765</v>
      </c>
      <c r="U22" s="51"/>
      <c r="V22" s="63">
        <f>V21/V20*V16</f>
        <v>557.442290857491</v>
      </c>
      <c r="W22" s="51"/>
      <c r="X22" s="63">
        <f>X21/X20*X16</f>
        <v>230.35016818770501</v>
      </c>
      <c r="Y22" s="63">
        <f>Y21/Y20*Y16</f>
        <v>75.876132214160378</v>
      </c>
      <c r="Z22" s="63">
        <f>Z21/Z20*Z16</f>
        <v>104.97733686821182</v>
      </c>
      <c r="AA22" s="63">
        <f>AA21/AA20*AA16</f>
        <v>125.35480734549218</v>
      </c>
    </row>
    <row r="23" spans="1:27" s="74" customFormat="1" ht="7.2" customHeight="1" x14ac:dyDescent="0.3">
      <c r="A23" s="40"/>
      <c r="B23" s="41"/>
      <c r="G23" s="51"/>
      <c r="J23" s="51"/>
      <c r="M23" s="51"/>
      <c r="Q23" s="51"/>
      <c r="U23" s="51"/>
      <c r="W23" s="51"/>
    </row>
    <row r="24" spans="1:27" s="235" customFormat="1" ht="15" x14ac:dyDescent="0.35">
      <c r="A24" s="40"/>
      <c r="B24" s="41"/>
      <c r="C24" s="238" t="s">
        <v>211</v>
      </c>
      <c r="E24" s="56"/>
      <c r="F24" s="56"/>
      <c r="G24" s="30"/>
      <c r="H24" s="56"/>
      <c r="I24" s="56"/>
      <c r="J24" s="30"/>
      <c r="K24" s="56"/>
      <c r="L24" s="56"/>
      <c r="M24" s="30"/>
      <c r="N24" s="56"/>
      <c r="O24" s="56"/>
      <c r="P24" s="56"/>
      <c r="Q24" s="30"/>
      <c r="R24" s="56"/>
      <c r="S24" s="56"/>
      <c r="T24" s="56"/>
      <c r="U24" s="30"/>
      <c r="V24" s="56"/>
      <c r="W24" s="30"/>
      <c r="X24" s="56"/>
      <c r="Y24" s="56"/>
      <c r="Z24" s="56"/>
      <c r="AA24" s="56"/>
    </row>
    <row r="25" spans="1:27" s="235" customFormat="1" ht="12.6" x14ac:dyDescent="0.3">
      <c r="A25" s="40"/>
      <c r="B25" s="41"/>
      <c r="C25" s="202" t="s">
        <v>3</v>
      </c>
      <c r="D25" s="56"/>
      <c r="E25" s="107">
        <f>Income!E10</f>
        <v>22.475345999999998</v>
      </c>
      <c r="F25" s="107">
        <f>Income!F10</f>
        <v>17.352</v>
      </c>
      <c r="G25" s="50"/>
      <c r="H25" s="107">
        <f>Income!H10</f>
        <v>7.3240960000000008</v>
      </c>
      <c r="I25" s="107">
        <f>Income!I10</f>
        <v>32.503249999999994</v>
      </c>
      <c r="J25" s="50"/>
      <c r="K25" s="107">
        <f>Income!K10</f>
        <v>4.3860960000000002</v>
      </c>
      <c r="L25" s="107">
        <f>Income!L10</f>
        <v>35.441249999999997</v>
      </c>
      <c r="M25" s="50"/>
      <c r="N25" s="107">
        <f>Income!N10</f>
        <v>16.255125</v>
      </c>
      <c r="O25" s="107">
        <f>Income!O10</f>
        <v>13.454241000000001</v>
      </c>
      <c r="P25" s="107">
        <f>Income!P10</f>
        <v>10.117979999999999</v>
      </c>
      <c r="Q25" s="50"/>
      <c r="R25" s="107">
        <f>Income!R10</f>
        <v>11.029847239999999</v>
      </c>
      <c r="S25" s="107">
        <f>Income!S10</f>
        <v>11.433422459999999</v>
      </c>
      <c r="T25" s="107">
        <f>Income!T10</f>
        <v>17.364076300000001</v>
      </c>
      <c r="U25" s="50"/>
      <c r="V25" s="107">
        <f>Income!V10</f>
        <v>39.827345999999999</v>
      </c>
      <c r="W25" s="50"/>
      <c r="X25" s="107">
        <f>Income!X10</f>
        <v>4.3860960000000002</v>
      </c>
      <c r="Y25" s="107">
        <f>Income!Y10</f>
        <v>2.9379999999999997</v>
      </c>
      <c r="Z25" s="107">
        <f>Income!Z10</f>
        <v>15.151249999999999</v>
      </c>
      <c r="AA25" s="107">
        <f>Income!AA10</f>
        <v>17.352</v>
      </c>
    </row>
    <row r="26" spans="1:27" s="235" customFormat="1" ht="12.6" x14ac:dyDescent="0.3">
      <c r="A26" s="40"/>
      <c r="B26" s="41"/>
      <c r="C26" s="202" t="s">
        <v>12</v>
      </c>
      <c r="D26" s="56"/>
      <c r="E26" s="107">
        <f>Income!E11</f>
        <v>10</v>
      </c>
      <c r="F26" s="107">
        <f>Income!F11</f>
        <v>0</v>
      </c>
      <c r="G26" s="50"/>
      <c r="H26" s="107">
        <f>Income!H11</f>
        <v>10</v>
      </c>
      <c r="I26" s="107">
        <f>Income!I11</f>
        <v>0</v>
      </c>
      <c r="J26" s="50"/>
      <c r="K26" s="107">
        <f>Income!K11</f>
        <v>6</v>
      </c>
      <c r="L26" s="107">
        <f>Income!L11</f>
        <v>4</v>
      </c>
      <c r="M26" s="50"/>
      <c r="N26" s="107">
        <f>Income!N11</f>
        <v>3.4000000000000004</v>
      </c>
      <c r="O26" s="107">
        <f>Income!O11</f>
        <v>3.2908800000000005</v>
      </c>
      <c r="P26" s="107">
        <f>Income!P11</f>
        <v>3.3091200000000001</v>
      </c>
      <c r="Q26" s="50"/>
      <c r="R26" s="107">
        <f>Income!R11</f>
        <v>3.7600000000000002</v>
      </c>
      <c r="S26" s="107">
        <f>Income!S11</f>
        <v>3.16</v>
      </c>
      <c r="T26" s="107">
        <f>Income!T11</f>
        <v>3.08</v>
      </c>
      <c r="U26" s="50"/>
      <c r="V26" s="107">
        <f>Income!V11</f>
        <v>10</v>
      </c>
      <c r="W26" s="50"/>
      <c r="X26" s="107">
        <f>Income!X11</f>
        <v>6</v>
      </c>
      <c r="Y26" s="107">
        <f>Income!Y11</f>
        <v>4</v>
      </c>
      <c r="Z26" s="107">
        <f>Income!Z11</f>
        <v>0</v>
      </c>
      <c r="AA26" s="107">
        <f>Income!AA11</f>
        <v>0</v>
      </c>
    </row>
    <row r="27" spans="1:27" s="235" customFormat="1" ht="12.6" x14ac:dyDescent="0.3">
      <c r="A27" s="40"/>
      <c r="B27" s="41"/>
      <c r="C27" s="199" t="s">
        <v>209</v>
      </c>
      <c r="D27" s="56"/>
      <c r="E27" s="107">
        <f>SUM(Income!E12:E13)</f>
        <v>11.697044</v>
      </c>
      <c r="F27" s="107">
        <f>SUM(Income!F12:F13)</f>
        <v>0</v>
      </c>
      <c r="G27" s="50"/>
      <c r="H27" s="107">
        <f>SUM(Income!H12:H13)</f>
        <v>5.8295440000000003</v>
      </c>
      <c r="I27" s="107">
        <f>SUM(Income!I12:I13)</f>
        <v>5.8674999999999997</v>
      </c>
      <c r="J27" s="50"/>
      <c r="K27" s="107">
        <f>SUM(Income!K12:K13)</f>
        <v>3.4885440000000001</v>
      </c>
      <c r="L27" s="107">
        <f>SUM(Income!L12:L13)</f>
        <v>8.2085000000000008</v>
      </c>
      <c r="M27" s="50"/>
      <c r="N27" s="107">
        <f>SUM(Income!N12:N13)</f>
        <v>3.5750000000000002</v>
      </c>
      <c r="O27" s="107">
        <f>SUM(Income!O12:O13)</f>
        <v>4.4943</v>
      </c>
      <c r="P27" s="107">
        <f>SUM(Income!P12:P13)</f>
        <v>3.6277439999999999</v>
      </c>
      <c r="Q27" s="50"/>
      <c r="R27" s="107">
        <f>SUM(Income!R12:R13)</f>
        <v>3.71598936</v>
      </c>
      <c r="S27" s="107">
        <f>SUM(Income!S12:S13)</f>
        <v>4.3664464400000007</v>
      </c>
      <c r="T27" s="107">
        <f>SUM(Income!T12:T13)</f>
        <v>3.6146082000000002</v>
      </c>
      <c r="U27" s="50"/>
      <c r="V27" s="107">
        <f>SUM(Income!V12:V13)</f>
        <v>11.697044</v>
      </c>
      <c r="W27" s="50"/>
      <c r="X27" s="107">
        <f>SUM(Income!X12:X13)</f>
        <v>3.4885440000000001</v>
      </c>
      <c r="Y27" s="107">
        <f>SUM(Income!Y12:Y13)</f>
        <v>2.3410000000000002</v>
      </c>
      <c r="Z27" s="107">
        <f>SUM(Income!Z12:Z13)</f>
        <v>5.8674999999999997</v>
      </c>
      <c r="AA27" s="107">
        <f>SUM(Income!AA12:AA13)</f>
        <v>0</v>
      </c>
    </row>
    <row r="28" spans="1:27" s="74" customFormat="1" ht="12.6" x14ac:dyDescent="0.3">
      <c r="A28" s="40"/>
      <c r="B28" s="41"/>
      <c r="C28" s="204" t="s">
        <v>210</v>
      </c>
      <c r="E28" s="108">
        <f>Income!E14</f>
        <v>4.108000399999999</v>
      </c>
      <c r="F28" s="108">
        <f>Income!F14</f>
        <v>2.4435000000000002</v>
      </c>
      <c r="G28" s="50"/>
      <c r="H28" s="108">
        <f>Income!H14</f>
        <v>2.1395004000000002</v>
      </c>
      <c r="I28" s="108">
        <f>Income!I14</f>
        <v>4.411999999999999</v>
      </c>
      <c r="J28" s="50"/>
      <c r="K28" s="108">
        <f>Income!K14</f>
        <v>1.2804503999999999</v>
      </c>
      <c r="L28" s="108">
        <f>Income!L14</f>
        <v>5.2710499999999989</v>
      </c>
      <c r="M28" s="50"/>
      <c r="N28" s="108">
        <f>Income!N14</f>
        <v>2.6201249999999998</v>
      </c>
      <c r="O28" s="108">
        <f>Income!O14</f>
        <v>2.185505</v>
      </c>
      <c r="P28" s="108">
        <f>Income!P14</f>
        <v>1.7458703999999998</v>
      </c>
      <c r="Q28" s="50"/>
      <c r="R28" s="108">
        <f>Income!R14</f>
        <v>1.9266171760000002</v>
      </c>
      <c r="S28" s="108">
        <f>Income!S14</f>
        <v>1.8895171039999998</v>
      </c>
      <c r="T28" s="108">
        <f>Income!T14</f>
        <v>2.7353661200000001</v>
      </c>
      <c r="U28" s="50"/>
      <c r="V28" s="108">
        <f>Income!V14</f>
        <v>6.5515004000000001</v>
      </c>
      <c r="W28" s="50"/>
      <c r="X28" s="108">
        <f>Income!X14</f>
        <v>1.2804503999999999</v>
      </c>
      <c r="Y28" s="108">
        <f>Income!Y14</f>
        <v>0.85904999999999998</v>
      </c>
      <c r="Z28" s="108">
        <f>Income!Z14</f>
        <v>1.9684999999999997</v>
      </c>
      <c r="AA28" s="108">
        <f>Income!AA14</f>
        <v>2.4435000000000002</v>
      </c>
    </row>
    <row r="29" spans="1:27" s="235" customFormat="1" ht="12.6" x14ac:dyDescent="0.3">
      <c r="A29" s="40"/>
      <c r="B29" s="41"/>
      <c r="C29" s="212" t="s">
        <v>212</v>
      </c>
      <c r="D29" s="236"/>
      <c r="E29" s="105">
        <f>SUM(E26:E28)</f>
        <v>25.805044399999996</v>
      </c>
      <c r="F29" s="105">
        <f>SUM(F26:F28)</f>
        <v>2.4435000000000002</v>
      </c>
      <c r="G29" s="30"/>
      <c r="H29" s="105">
        <f>SUM(H26:H28)</f>
        <v>17.969044400000001</v>
      </c>
      <c r="I29" s="105">
        <f>SUM(I26:I28)</f>
        <v>10.279499999999999</v>
      </c>
      <c r="J29" s="30"/>
      <c r="K29" s="105">
        <f>SUM(K26:K28)</f>
        <v>10.7689944</v>
      </c>
      <c r="L29" s="105">
        <f>SUM(L26:L28)</f>
        <v>17.47955</v>
      </c>
      <c r="M29" s="30"/>
      <c r="N29" s="105">
        <f>SUM(N26:N28)</f>
        <v>9.5951249999999995</v>
      </c>
      <c r="O29" s="105">
        <f>SUM(O26:O28)</f>
        <v>9.9706849999999996</v>
      </c>
      <c r="P29" s="105">
        <f>SUM(P26:P28)</f>
        <v>8.6827343999999993</v>
      </c>
      <c r="Q29" s="30"/>
      <c r="R29" s="105">
        <f t="shared" ref="R29:T29" si="6">SUM(R26:R28)</f>
        <v>9.4026065360000004</v>
      </c>
      <c r="S29" s="105">
        <f t="shared" si="6"/>
        <v>9.4159635440000002</v>
      </c>
      <c r="T29" s="105">
        <f t="shared" si="6"/>
        <v>9.4299743199999995</v>
      </c>
      <c r="U29" s="30"/>
      <c r="V29" s="105">
        <f>SUM(V26:V28)</f>
        <v>28.2485444</v>
      </c>
      <c r="W29" s="30"/>
      <c r="X29" s="105">
        <f t="shared" ref="X29:AA29" si="7">SUM(X26:X28)</f>
        <v>10.7689944</v>
      </c>
      <c r="Y29" s="105">
        <f t="shared" si="7"/>
        <v>7.2000500000000001</v>
      </c>
      <c r="Z29" s="105">
        <f t="shared" si="7"/>
        <v>7.8359999999999994</v>
      </c>
      <c r="AA29" s="105">
        <f t="shared" si="7"/>
        <v>2.4435000000000002</v>
      </c>
    </row>
    <row r="30" spans="1:27" s="235" customFormat="1" ht="12.6" x14ac:dyDescent="0.3">
      <c r="A30" s="40"/>
      <c r="B30" s="41"/>
      <c r="C30" s="214" t="s">
        <v>202</v>
      </c>
      <c r="E30" s="215">
        <f>E29/(E29+E25)</f>
        <v>0.53448292746199499</v>
      </c>
      <c r="F30" s="215">
        <f>F29/(F29+F25)</f>
        <v>0.12343714480563765</v>
      </c>
      <c r="G30" s="50"/>
      <c r="H30" s="215">
        <f>H29/(H29+H25)</f>
        <v>0.71043152870016879</v>
      </c>
      <c r="I30" s="215">
        <f>I29/(I29+I25)</f>
        <v>0.24027207227211902</v>
      </c>
      <c r="J30" s="50"/>
      <c r="K30" s="215">
        <f>K29/(K29+K25)</f>
        <v>0.71058595599007446</v>
      </c>
      <c r="L30" s="215">
        <f>L29/(L29+L25)</f>
        <v>0.33029640519417697</v>
      </c>
      <c r="M30" s="50"/>
      <c r="N30" s="215">
        <f>N29/(N29+N25)</f>
        <v>0.37118112977630774</v>
      </c>
      <c r="O30" s="215">
        <f>O29/(O29+O25)</f>
        <v>0.42564424749943713</v>
      </c>
      <c r="P30" s="215">
        <f>P29/(P29+P25)</f>
        <v>0.46183002492713793</v>
      </c>
      <c r="Q30" s="50"/>
      <c r="R30" s="215">
        <f t="shared" ref="R30:T30" si="8">R29/(R29+R25)</f>
        <v>0.46017999791313957</v>
      </c>
      <c r="S30" s="215">
        <f t="shared" si="8"/>
        <v>0.45161826550640521</v>
      </c>
      <c r="T30" s="215">
        <f t="shared" si="8"/>
        <v>0.35194284185464447</v>
      </c>
      <c r="U30" s="50"/>
      <c r="V30" s="215">
        <f>V29/(V29+V25)</f>
        <v>0.41495666430534128</v>
      </c>
      <c r="W30" s="50"/>
      <c r="X30" s="215">
        <f t="shared" ref="X30:AA30" si="9">X29/(X29+X25)</f>
        <v>0.71058595599007446</v>
      </c>
      <c r="Y30" s="215">
        <f t="shared" si="9"/>
        <v>0.71020067961787525</v>
      </c>
      <c r="Z30" s="215">
        <f t="shared" si="9"/>
        <v>0.34088462082241239</v>
      </c>
      <c r="AA30" s="215">
        <f t="shared" si="9"/>
        <v>0.12343714480563765</v>
      </c>
    </row>
    <row r="31" spans="1:27" s="235" customFormat="1" ht="12.6" x14ac:dyDescent="0.3">
      <c r="A31" s="40"/>
      <c r="B31" s="41"/>
      <c r="C31" s="214" t="s">
        <v>208</v>
      </c>
      <c r="E31" s="216">
        <f>(E25/E$17)^2+(E26/E$17)^2+(E27/E$17)^2+(E28/E$17)^2</f>
        <v>0.32554223679878708</v>
      </c>
      <c r="F31" s="216">
        <f>(F25/F$17)^2+(F26/F$17)^2+(F27/F$17)^2+(F28/F$17)^2</f>
        <v>0.78359916782426065</v>
      </c>
      <c r="G31" s="50"/>
      <c r="H31" s="216">
        <f>(H25/H$17)^2+(H26/H$17)^2+(H27/H$17)^2+(H28/H$17)^2</f>
        <v>0.30043852306297558</v>
      </c>
      <c r="I31" s="216">
        <f>(I25/I$17)^2+(I26/I$17)^2+(I27/I$17)^2+(I28/I$17)^2</f>
        <v>0.6066305632542659</v>
      </c>
      <c r="J31" s="50"/>
      <c r="K31" s="216">
        <f>(K25/K$17)^2+(K26/K$17)^2+(K27/K$17)^2+(K28/K$17)^2</f>
        <v>0.30062827895690847</v>
      </c>
      <c r="L31" s="216">
        <f>(L25/L$17)^2+(L26/L$17)^2+(L27/L$17)^2+(L28/L$17)^2</f>
        <v>0.48819547107844707</v>
      </c>
      <c r="M31" s="50"/>
      <c r="N31" s="216">
        <f>(N25/N$17)^2+(N26/N$17)^2+(N27/N$17)^2+(N28/N$17)^2</f>
        <v>0.44211180326696708</v>
      </c>
      <c r="O31" s="216">
        <f>(O25/O$17)^2+(O26/O$17)^2+(O27/O$17)^2+(O28/O$17)^2</f>
        <v>0.39513563973049903</v>
      </c>
      <c r="P31" s="216">
        <f>(P25/P$17)^2+(P26/P$17)^2+(P27/P$17)^2+(P28/P$17)^2</f>
        <v>0.36646259771904915</v>
      </c>
      <c r="Q31" s="50"/>
      <c r="R31" s="216">
        <f t="shared" ref="R31:T31" si="10">(R25/R$17)^2+(R26/R$17)^2+(R27/R$17)^2+(R28/R$17)^2</f>
        <v>0.36723594707013857</v>
      </c>
      <c r="S31" s="216">
        <f t="shared" si="10"/>
        <v>0.37576729848339507</v>
      </c>
      <c r="T31" s="216">
        <f t="shared" si="10"/>
        <v>0.46181278631530109</v>
      </c>
      <c r="U31" s="50"/>
      <c r="V31" s="216">
        <f>(V25/V$17)^2+(V26/V$17)^2+(V27/V$17)^2+(V28/V$17)^2</f>
        <v>0.4026389471691717</v>
      </c>
      <c r="W31" s="50"/>
      <c r="X31" s="216">
        <f t="shared" ref="X31:AA31" si="11">(X25/X$17)^2+(X26/X$17)^2+(X27/X$17)^2+(X28/X$17)^2</f>
        <v>0.30062827895690847</v>
      </c>
      <c r="Y31" s="216">
        <f t="shared" si="11"/>
        <v>0.30015639767182156</v>
      </c>
      <c r="Z31" s="216">
        <f t="shared" si="11"/>
        <v>0.50691899933760254</v>
      </c>
      <c r="AA31" s="216">
        <f t="shared" si="11"/>
        <v>0.78359916782426065</v>
      </c>
    </row>
  </sheetData>
  <sheetProtection algorithmName="SHA-512" hashValue="fOWjo7Zx5PIQmuItY12HtXGhRBDwBo8Gqc/V0794NhwqG7JOTF3vAVTknDAonIrICegMO7FQ6YeWgd3+YYnAqQ==" saltValue="8ubEXB8TvTQs8tIpv+D8kw==" spinCount="100000" sheet="1" objects="1" scenarios="1" selectLockedCells="1" selectUnlockedCells="1"/>
  <mergeCells count="11">
    <mergeCell ref="C2:C3"/>
    <mergeCell ref="X3:AA3"/>
    <mergeCell ref="F10:F11"/>
    <mergeCell ref="F12:F13"/>
    <mergeCell ref="E5:F5"/>
    <mergeCell ref="H5:I5"/>
    <mergeCell ref="K5:L5"/>
    <mergeCell ref="N5:P5"/>
    <mergeCell ref="R5:T5"/>
    <mergeCell ref="AA10:AA11"/>
    <mergeCell ref="AA12:AA13"/>
  </mergeCells>
  <printOptions horizontalCentered="1"/>
  <pageMargins left="0.5" right="0.5" top="0.75" bottom="0.75" header="0.5" footer="0.5"/>
  <pageSetup scale="71" orientation="landscape" horizontalDpi="1200" verticalDpi="1200" r:id="rId1"/>
  <headerFooter scaleWithDoc="0" alignWithMargins="0">
    <oddFooter>&amp;L&amp;10Banking Strategy - Key Metrics&amp;R&amp;10Updated &amp;D</oddFooter>
  </headerFooter>
  <colBreaks count="1" manualBreakCount="1">
    <brk id="17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E6F3-5B16-4637-8D3D-B03240DB83F1}">
  <sheetPr codeName="Sheet5">
    <tabColor rgb="FFEFD2D1"/>
    <pageSetUpPr fitToPage="1"/>
  </sheetPr>
  <dimension ref="A1:I26"/>
  <sheetViews>
    <sheetView showGridLines="0" showRowColHeaders="0" showZeros="0" zoomScaleNormal="100" zoomScaleSheetLayoutView="70" workbookViewId="0"/>
  </sheetViews>
  <sheetFormatPr defaultColWidth="8.19921875" defaultRowHeight="15.6" x14ac:dyDescent="0.3"/>
  <cols>
    <col min="1" max="1" width="2.69921875" style="18" customWidth="1"/>
    <col min="2" max="2" width="2.796875" style="16" customWidth="1"/>
    <col min="3" max="3" width="8.09765625" style="15" customWidth="1"/>
    <col min="4" max="4" width="2.3984375" style="39" customWidth="1"/>
    <col min="5" max="5" width="33.5" style="39" customWidth="1"/>
    <col min="6" max="6" width="7.5" style="39" customWidth="1"/>
    <col min="7" max="7" width="32" style="13" customWidth="1"/>
    <col min="8" max="8" width="7.5" style="15" customWidth="1"/>
    <col min="9" max="9" width="32.8984375" style="15" customWidth="1"/>
    <col min="10" max="10" width="11.5" style="15" customWidth="1"/>
    <col min="11" max="11" width="3.69921875" style="15" customWidth="1"/>
    <col min="12" max="16384" width="8.19921875" style="15"/>
  </cols>
  <sheetData>
    <row r="1" spans="1:9" s="5" customFormat="1" ht="10.199999999999999" x14ac:dyDescent="0.2">
      <c r="A1" s="21" t="s">
        <v>2</v>
      </c>
      <c r="B1" s="1"/>
      <c r="C1" s="1"/>
      <c r="D1" s="1"/>
      <c r="E1" s="1"/>
      <c r="F1" s="1"/>
      <c r="G1" s="1"/>
      <c r="H1" s="1"/>
      <c r="I1" s="3"/>
    </row>
    <row r="2" spans="1:9" s="12" customFormat="1" ht="16.8" customHeight="1" x14ac:dyDescent="0.2">
      <c r="C2" s="430" t="s">
        <v>78</v>
      </c>
    </row>
    <row r="3" spans="1:9" s="10" customFormat="1" ht="24" customHeight="1" x14ac:dyDescent="0.2">
      <c r="A3" s="18"/>
      <c r="B3" s="16"/>
      <c r="C3" s="430"/>
    </row>
    <row r="4" spans="1:9" s="19" customFormat="1" ht="10.199999999999999" x14ac:dyDescent="0.2">
      <c r="A4" s="18"/>
      <c r="B4" s="16"/>
      <c r="G4" s="46"/>
    </row>
    <row r="5" spans="1:9" s="9" customFormat="1" ht="19.2" customHeight="1" x14ac:dyDescent="0.35">
      <c r="A5" s="18"/>
      <c r="B5" s="16"/>
      <c r="C5" s="206" t="s">
        <v>62</v>
      </c>
      <c r="D5" s="20"/>
      <c r="E5" s="20"/>
      <c r="G5" s="206" t="s">
        <v>138</v>
      </c>
      <c r="I5" s="206" t="s">
        <v>139</v>
      </c>
    </row>
    <row r="6" spans="1:9" s="114" customFormat="1" ht="16.8" customHeight="1" x14ac:dyDescent="0.3">
      <c r="A6" s="113"/>
      <c r="B6" s="73"/>
      <c r="C6" s="429" t="s">
        <v>171</v>
      </c>
      <c r="D6" s="429"/>
      <c r="E6" s="429"/>
      <c r="G6" s="115" t="str">
        <f>Drivers!DE13</f>
        <v>Total = $800m</v>
      </c>
      <c r="H6" s="115"/>
      <c r="I6" s="103" t="str">
        <f>Drivers!DM13</f>
        <v>Total = $6.9m</v>
      </c>
    </row>
    <row r="7" spans="1:9" s="19" customFormat="1" ht="10.199999999999999" x14ac:dyDescent="0.2">
      <c r="A7" s="18"/>
      <c r="B7" s="16"/>
      <c r="G7" s="57"/>
      <c r="H7" s="57"/>
      <c r="I7" s="57"/>
    </row>
    <row r="8" spans="1:9" s="57" customFormat="1" ht="10.199999999999999" x14ac:dyDescent="0.2">
      <c r="A8" s="18"/>
      <c r="B8" s="16"/>
      <c r="D8" s="309"/>
    </row>
    <row r="9" spans="1:9" s="57" customFormat="1" ht="10.199999999999999" x14ac:dyDescent="0.2">
      <c r="A9" s="18"/>
      <c r="B9" s="16"/>
      <c r="C9" s="46"/>
      <c r="D9" s="309"/>
    </row>
    <row r="10" spans="1:9" s="57" customFormat="1" ht="10.199999999999999" x14ac:dyDescent="0.2">
      <c r="A10" s="18"/>
      <c r="B10" s="16"/>
      <c r="C10" s="14"/>
      <c r="D10" s="309"/>
      <c r="G10" s="64"/>
    </row>
    <row r="11" spans="1:9" s="57" customFormat="1" ht="10.199999999999999" x14ac:dyDescent="0.2">
      <c r="A11" s="18"/>
      <c r="B11" s="16"/>
      <c r="C11" s="14"/>
      <c r="D11" s="309"/>
    </row>
    <row r="12" spans="1:9" s="57" customFormat="1" ht="10.199999999999999" x14ac:dyDescent="0.2">
      <c r="A12" s="12"/>
      <c r="B12" s="16"/>
      <c r="C12" s="14"/>
      <c r="D12" s="309"/>
      <c r="G12" s="13"/>
    </row>
    <row r="13" spans="1:9" s="57" customFormat="1" ht="10.199999999999999" x14ac:dyDescent="0.2">
      <c r="A13" s="18"/>
      <c r="B13" s="16"/>
      <c r="C13" s="14"/>
      <c r="D13" s="309"/>
      <c r="G13" s="13"/>
    </row>
    <row r="14" spans="1:9" s="57" customFormat="1" ht="10.199999999999999" x14ac:dyDescent="0.2">
      <c r="A14" s="18"/>
      <c r="B14" s="16"/>
      <c r="C14" s="12"/>
      <c r="D14" s="309"/>
    </row>
    <row r="15" spans="1:9" s="57" customFormat="1" ht="10.199999999999999" x14ac:dyDescent="0.2">
      <c r="A15" s="18"/>
      <c r="B15" s="16"/>
      <c r="C15" s="12"/>
      <c r="D15" s="309"/>
    </row>
    <row r="16" spans="1:9" s="57" customFormat="1" ht="10.199999999999999" x14ac:dyDescent="0.2">
      <c r="A16" s="18"/>
      <c r="B16" s="16"/>
      <c r="C16" s="19"/>
      <c r="G16" s="13"/>
    </row>
    <row r="17" spans="1:7" s="57" customFormat="1" ht="10.199999999999999" x14ac:dyDescent="0.2">
      <c r="A17" s="18"/>
      <c r="B17" s="16"/>
    </row>
    <row r="18" spans="1:7" s="57" customFormat="1" ht="10.199999999999999" x14ac:dyDescent="0.2">
      <c r="A18" s="18"/>
      <c r="B18" s="16"/>
      <c r="G18" s="13"/>
    </row>
    <row r="19" spans="1:7" s="57" customFormat="1" ht="10.199999999999999" x14ac:dyDescent="0.2">
      <c r="A19" s="18"/>
      <c r="B19" s="16"/>
    </row>
    <row r="20" spans="1:7" s="57" customFormat="1" ht="10.199999999999999" x14ac:dyDescent="0.2">
      <c r="A20" s="18"/>
      <c r="B20" s="16"/>
      <c r="C20" s="19"/>
    </row>
    <row r="21" spans="1:7" s="57" customFormat="1" ht="10.199999999999999" x14ac:dyDescent="0.2">
      <c r="A21" s="18"/>
      <c r="B21" s="16"/>
      <c r="C21" s="19"/>
    </row>
    <row r="22" spans="1:7" s="57" customFormat="1" ht="10.199999999999999" x14ac:dyDescent="0.2">
      <c r="A22" s="18"/>
      <c r="B22" s="16"/>
      <c r="C22" s="19"/>
      <c r="G22" s="13"/>
    </row>
    <row r="23" spans="1:7" s="57" customFormat="1" ht="10.199999999999999" x14ac:dyDescent="0.2">
      <c r="A23" s="18"/>
      <c r="B23" s="16"/>
      <c r="C23" s="19"/>
      <c r="G23" s="13"/>
    </row>
    <row r="24" spans="1:7" s="19" customFormat="1" ht="10.199999999999999" x14ac:dyDescent="0.2">
      <c r="A24" s="18"/>
      <c r="B24" s="16"/>
      <c r="E24" s="57"/>
      <c r="G24" s="13"/>
    </row>
    <row r="25" spans="1:7" s="19" customFormat="1" ht="10.199999999999999" x14ac:dyDescent="0.2">
      <c r="A25" s="18"/>
      <c r="B25" s="16"/>
      <c r="G25" s="13"/>
    </row>
    <row r="26" spans="1:7" s="19" customFormat="1" ht="10.199999999999999" x14ac:dyDescent="0.2">
      <c r="A26" s="18"/>
      <c r="B26" s="16"/>
      <c r="G26" s="13"/>
    </row>
  </sheetData>
  <sheetProtection algorithmName="SHA-512" hashValue="p/qyQNFJgTq27MRKQrabRgBmnCimSyKcwIUK0eRTzvqFZkNEW+Bx+3s9hieOplolpoD2G5z3T4739o42xwfdaw==" saltValue="+foTKGxcvbUOZqWn+HjhsA==" spinCount="100000" sheet="1" objects="1" scenarios="1" selectLockedCells="1" selectUnlockedCells="1"/>
  <mergeCells count="2">
    <mergeCell ref="C6:E6"/>
    <mergeCell ref="C2:C3"/>
  </mergeCells>
  <printOptions horizontalCentered="1"/>
  <pageMargins left="0.5" right="0.5" top="0.75" bottom="0.75" header="0.5" footer="0.5"/>
  <pageSetup scale="85" orientation="landscape" horizontalDpi="1200" verticalDpi="1200" r:id="rId1"/>
  <headerFooter scaleWithDoc="0" alignWithMargins="0">
    <oddFooter>&amp;L&amp;10Banking Strategy - Analysis&amp;R&amp;10Updated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6030" r:id="rId4" name="Option Button 14">
              <controlPr defaultSize="0" autoFill="0" autoLine="0" autoPict="0">
                <anchor moveWithCells="1">
                  <from>
                    <xdr:col>2</xdr:col>
                    <xdr:colOff>601980</xdr:colOff>
                    <xdr:row>7</xdr:row>
                    <xdr:rowOff>22860</xdr:rowOff>
                  </from>
                  <to>
                    <xdr:col>4</xdr:col>
                    <xdr:colOff>60960</xdr:colOff>
                    <xdr:row>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1" r:id="rId5" name="Option Button 15">
              <controlPr defaultSize="0" autoFill="0" autoLine="0" autoPict="0">
                <anchor moveWithCells="1">
                  <from>
                    <xdr:col>2</xdr:col>
                    <xdr:colOff>601980</xdr:colOff>
                    <xdr:row>8</xdr:row>
                    <xdr:rowOff>53340</xdr:rowOff>
                  </from>
                  <to>
                    <xdr:col>4</xdr:col>
                    <xdr:colOff>60960</xdr:colOff>
                    <xdr:row>9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2" r:id="rId6" name="Option Button 16">
              <controlPr defaultSize="0" autoFill="0" autoLine="0" autoPict="0">
                <anchor moveWithCells="1">
                  <from>
                    <xdr:col>2</xdr:col>
                    <xdr:colOff>601980</xdr:colOff>
                    <xdr:row>9</xdr:row>
                    <xdr:rowOff>83820</xdr:rowOff>
                  </from>
                  <to>
                    <xdr:col>4</xdr:col>
                    <xdr:colOff>60960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3" r:id="rId7" name="Option Button 17">
              <controlPr defaultSize="0" autoFill="0" autoLine="0" autoPict="0">
                <anchor moveWithCells="1">
                  <from>
                    <xdr:col>2</xdr:col>
                    <xdr:colOff>601980</xdr:colOff>
                    <xdr:row>10</xdr:row>
                    <xdr:rowOff>114300</xdr:rowOff>
                  </from>
                  <to>
                    <xdr:col>4</xdr:col>
                    <xdr:colOff>60960</xdr:colOff>
                    <xdr:row>12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4" r:id="rId8" name="Option Button 18">
              <controlPr defaultSize="0" autoFill="0" autoLine="0" autoPict="0">
                <anchor moveWithCells="1">
                  <from>
                    <xdr:col>2</xdr:col>
                    <xdr:colOff>601980</xdr:colOff>
                    <xdr:row>12</xdr:row>
                    <xdr:rowOff>15240</xdr:rowOff>
                  </from>
                  <to>
                    <xdr:col>4</xdr:col>
                    <xdr:colOff>60960</xdr:colOff>
                    <xdr:row>13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5" r:id="rId9" name="Option Button 19">
              <controlPr defaultSize="0" autoFill="0" autoLine="0" autoPict="0">
                <anchor moveWithCells="1">
                  <from>
                    <xdr:col>2</xdr:col>
                    <xdr:colOff>601980</xdr:colOff>
                    <xdr:row>13</xdr:row>
                    <xdr:rowOff>38100</xdr:rowOff>
                  </from>
                  <to>
                    <xdr:col>4</xdr:col>
                    <xdr:colOff>60960</xdr:colOff>
                    <xdr:row>14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HeadingPairs>
  <TitlesOfParts>
    <vt:vector size="26" baseType="lpstr">
      <vt:lpstr>ℹ️ </vt:lpstr>
      <vt:lpstr>Drivers</vt:lpstr>
      <vt:lpstr>Income</vt:lpstr>
      <vt:lpstr>Metrics</vt:lpstr>
      <vt:lpstr>Analysis</vt:lpstr>
      <vt:lpstr>Drivers!BalCapital</vt:lpstr>
      <vt:lpstr>Drivers!BalCost</vt:lpstr>
      <vt:lpstr>Drivers!BalGain</vt:lpstr>
      <vt:lpstr>Drivers!BalROE</vt:lpstr>
      <vt:lpstr>Drivers!BalYears</vt:lpstr>
      <vt:lpstr>Drivers!BalYield</vt:lpstr>
      <vt:lpstr>Drivers!OrigApplication</vt:lpstr>
      <vt:lpstr>Drivers!OrigCommissions</vt:lpstr>
      <vt:lpstr>Drivers!OrigGain</vt:lpstr>
      <vt:lpstr>Drivers!OrigInterest</vt:lpstr>
      <vt:lpstr>Drivers!OrigOrigination</vt:lpstr>
      <vt:lpstr>Drivers!OrigOverhead</vt:lpstr>
      <vt:lpstr>Drivers!OrigReferral</vt:lpstr>
      <vt:lpstr>Drivers!OrigServicing</vt:lpstr>
      <vt:lpstr>Analysis!Print_Area</vt:lpstr>
      <vt:lpstr>Drivers!Print_Area</vt:lpstr>
      <vt:lpstr>Income!Print_Area</vt:lpstr>
      <vt:lpstr>'ℹ️ '!Print_Area</vt:lpstr>
      <vt:lpstr>Metrics!Print_Area</vt:lpstr>
      <vt:lpstr>Drivers!Print_Titles</vt:lpstr>
      <vt:lpstr>Metrics!Print_Titles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2026-10-08T02:36:07Z</dcterms:created>
  <dcterms:modified xsi:type="dcterms:W3CDTF">2026-10-08T03:40:54Z</dcterms:modified>
</cp:coreProperties>
</file>