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4B2DF6D6-E99F-4BB6-B975-4963CAFE1B58}" xr6:coauthVersionLast="47" xr6:coauthVersionMax="47" xr10:uidLastSave="{00000000-0000-0000-0000-000000000000}"/>
  <bookViews>
    <workbookView xWindow="-108" yWindow="-108" windowWidth="23256" windowHeight="12456" tabRatio="718" xr2:uid="{14AF6CFA-4DFC-4CB6-A0C3-3F80EDC9946A}"/>
  </bookViews>
  <sheets>
    <sheet name="ℹ️ " sheetId="27" r:id="rId1"/>
    <sheet name="Approach" sheetId="17" r:id="rId2"/>
    <sheet name="Drivers" sheetId="35" r:id="rId3"/>
    <sheet name="Funding" sheetId="29" r:id="rId4"/>
    <sheet name="Forecast" sheetId="26" r:id="rId5"/>
    <sheet name="Factors" sheetId="39" r:id="rId6"/>
    <sheet name="Valuation" sheetId="37" r:id="rId7"/>
  </sheets>
  <definedNames>
    <definedName name="_xlnm.Print_Area" localSheetId="1">Approach!$C$5:$K$31</definedName>
    <definedName name="_xlnm.Print_Area" localSheetId="2">Drivers!$C$4:$X$30</definedName>
    <definedName name="_xlnm.Print_Area" localSheetId="5">Factors!$C$3:$M$20</definedName>
    <definedName name="_xlnm.Print_Area" localSheetId="4">Forecast!$C$3:$V$29</definedName>
    <definedName name="_xlnm.Print_Area" localSheetId="3">Funding!$C$3:$AC$29</definedName>
    <definedName name="_xlnm.Print_Area" localSheetId="0">'ℹ️ '!$B$2:$G$22</definedName>
    <definedName name="_xlnm.Print_Area" localSheetId="6">Valuation!$N$3:$U$34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39" l="1"/>
  <c r="R28" i="39"/>
  <c r="R26" i="39"/>
  <c r="R25" i="39"/>
  <c r="U29" i="26"/>
  <c r="U28" i="26"/>
  <c r="U26" i="26"/>
  <c r="U25" i="26"/>
  <c r="AB29" i="29"/>
  <c r="AB28" i="29"/>
  <c r="AB26" i="29"/>
  <c r="AB25" i="29"/>
  <c r="W30" i="35"/>
  <c r="W29" i="35"/>
  <c r="W27" i="35"/>
  <c r="W26" i="35"/>
  <c r="P12" i="39" l="1"/>
  <c r="G10" i="39"/>
  <c r="L21" i="37"/>
  <c r="L20" i="37"/>
  <c r="I18" i="37"/>
  <c r="L10" i="37"/>
  <c r="I10" i="37"/>
  <c r="L9" i="37"/>
  <c r="D9" i="39"/>
  <c r="D10" i="39"/>
  <c r="D11" i="39"/>
  <c r="D12" i="39"/>
  <c r="G16" i="39"/>
  <c r="J16" i="39"/>
  <c r="G17" i="39"/>
  <c r="J17" i="39"/>
  <c r="G18" i="39"/>
  <c r="J18" i="39"/>
  <c r="G9" i="39"/>
  <c r="I10" i="39" s="1"/>
  <c r="G11" i="39"/>
  <c r="I11" i="39" l="1"/>
  <c r="L11" i="37"/>
  <c r="L22" i="37"/>
  <c r="J15" i="39"/>
  <c r="Z12" i="29"/>
  <c r="Q25" i="35"/>
  <c r="Q26" i="35" s="1"/>
  <c r="Q27" i="35" l="1"/>
  <c r="Q28" i="35" s="1"/>
  <c r="T11" i="37" l="1"/>
  <c r="O21" i="37"/>
  <c r="O22" i="37"/>
  <c r="L26" i="26"/>
  <c r="L9" i="26"/>
  <c r="L10" i="26"/>
  <c r="M10" i="26" s="1"/>
  <c r="M25" i="26" s="1"/>
  <c r="U13" i="35"/>
  <c r="L12" i="26"/>
  <c r="L24" i="26" l="1"/>
  <c r="L13" i="26"/>
  <c r="L25" i="26"/>
  <c r="M9" i="26"/>
  <c r="M13" i="26" s="1"/>
  <c r="N10" i="26"/>
  <c r="O10" i="26" s="1"/>
  <c r="O25" i="26" s="1"/>
  <c r="L16" i="26"/>
  <c r="L27" i="26" l="1"/>
  <c r="D13" i="26" s="1"/>
  <c r="N9" i="26"/>
  <c r="P10" i="26"/>
  <c r="P25" i="26" s="1"/>
  <c r="M24" i="26"/>
  <c r="N25" i="26"/>
  <c r="N24" i="26" l="1"/>
  <c r="N13" i="26"/>
  <c r="O9" i="26"/>
  <c r="S12" i="26"/>
  <c r="O24" i="26" l="1"/>
  <c r="O13" i="26"/>
  <c r="P9" i="26"/>
  <c r="P24" i="26" l="1"/>
  <c r="P13" i="26"/>
  <c r="R17" i="29"/>
  <c r="D14" i="26" l="1"/>
  <c r="E14" i="26"/>
  <c r="P10" i="37" s="1"/>
  <c r="F14" i="26"/>
  <c r="Q10" i="37" s="1"/>
  <c r="G14" i="26"/>
  <c r="R10" i="37" s="1"/>
  <c r="H14" i="26"/>
  <c r="S10" i="37" s="1"/>
  <c r="D16" i="26"/>
  <c r="E16" i="26"/>
  <c r="F16" i="26"/>
  <c r="G16" i="26"/>
  <c r="H16" i="26"/>
  <c r="L15" i="26" l="1"/>
  <c r="O10" i="37"/>
  <c r="O8" i="29" l="1"/>
  <c r="P12" i="29"/>
  <c r="Q12" i="29"/>
  <c r="R12" i="29"/>
  <c r="O17" i="29"/>
  <c r="L14" i="29"/>
  <c r="K14" i="29"/>
  <c r="K11" i="29"/>
  <c r="P13" i="39" l="1"/>
  <c r="P8" i="39"/>
  <c r="Z8" i="29"/>
  <c r="Z13" i="29"/>
  <c r="U14" i="35"/>
  <c r="U9" i="35"/>
  <c r="S13" i="26"/>
  <c r="S8" i="26"/>
  <c r="O14" i="29"/>
  <c r="O16" i="29" s="1"/>
  <c r="F11" i="29"/>
  <c r="G11" i="29"/>
  <c r="H11" i="29"/>
  <c r="E11" i="29"/>
  <c r="H13" i="29"/>
  <c r="M14" i="29" s="1"/>
  <c r="G10" i="29"/>
  <c r="M11" i="29" s="1"/>
  <c r="F9" i="29"/>
  <c r="E8" i="29"/>
  <c r="P17" i="29"/>
  <c r="Q17" i="29"/>
  <c r="Q11" i="39" l="1"/>
  <c r="Q10" i="39"/>
  <c r="AA10" i="29"/>
  <c r="AA11" i="29"/>
  <c r="V12" i="35"/>
  <c r="V11" i="35"/>
  <c r="T11" i="26"/>
  <c r="T10" i="26"/>
  <c r="E14" i="29"/>
  <c r="P18" i="29" s="1"/>
  <c r="E15" i="35" s="1"/>
  <c r="L11" i="29"/>
  <c r="M9" i="29"/>
  <c r="J9" i="29"/>
  <c r="L9" i="29"/>
  <c r="K9" i="29"/>
  <c r="K10" i="29"/>
  <c r="L12" i="29"/>
  <c r="M12" i="29"/>
  <c r="J12" i="29"/>
  <c r="K12" i="29"/>
  <c r="Q8" i="39" l="1"/>
  <c r="Q12" i="39"/>
  <c r="AA12" i="29"/>
  <c r="AA8" i="29"/>
  <c r="V9" i="35"/>
  <c r="V13" i="35"/>
  <c r="T8" i="26"/>
  <c r="T12" i="26"/>
  <c r="J15" i="29"/>
  <c r="T8" i="29" s="1"/>
  <c r="E10" i="26" l="1"/>
  <c r="M15" i="26"/>
  <c r="N15" i="26"/>
  <c r="O15" i="26"/>
  <c r="P15" i="26"/>
  <c r="E12" i="26"/>
  <c r="F12" i="26"/>
  <c r="G12" i="26"/>
  <c r="H12" i="26"/>
  <c r="D12" i="26"/>
  <c r="G8" i="26"/>
  <c r="H8" i="26"/>
  <c r="F8" i="26"/>
  <c r="E8" i="26"/>
  <c r="D8" i="26"/>
  <c r="H10" i="26" l="1"/>
  <c r="H11" i="26" s="1"/>
  <c r="D10" i="26"/>
  <c r="D11" i="26" s="1"/>
  <c r="F10" i="26"/>
  <c r="F11" i="26" s="1"/>
  <c r="G10" i="26"/>
  <c r="G11" i="26" s="1"/>
  <c r="E9" i="26"/>
  <c r="E11" i="26"/>
  <c r="H9" i="26"/>
  <c r="F9" i="26"/>
  <c r="M16" i="26" l="1"/>
  <c r="N16" i="26" s="1"/>
  <c r="O16" i="26" s="1"/>
  <c r="P16" i="26" s="1"/>
  <c r="D18" i="26"/>
  <c r="D9" i="26"/>
  <c r="G9" i="26"/>
  <c r="L12" i="37" l="1"/>
  <c r="L13" i="37"/>
  <c r="O18" i="29"/>
  <c r="D15" i="35" s="1"/>
  <c r="F15" i="29" l="1" a="1"/>
  <c r="F15" i="29" s="1"/>
  <c r="K16" i="29" s="1"/>
  <c r="E15" i="29" a="1"/>
  <c r="E15" i="29" s="1"/>
  <c r="P9" i="29"/>
  <c r="F12" i="29"/>
  <c r="F14" i="29" l="1"/>
  <c r="G9" i="29" s="1"/>
  <c r="P14" i="29"/>
  <c r="P16" i="29" s="1"/>
  <c r="K13" i="29"/>
  <c r="K15" i="29" s="1"/>
  <c r="U8" i="29" s="1"/>
  <c r="T13" i="29"/>
  <c r="T9" i="29"/>
  <c r="T16" i="29"/>
  <c r="T10" i="29"/>
  <c r="T14" i="29"/>
  <c r="T12" i="29"/>
  <c r="T11" i="29"/>
  <c r="H27" i="17"/>
  <c r="Q18" i="29" l="1"/>
  <c r="J16" i="29"/>
  <c r="J17" i="29" s="1"/>
  <c r="M10" i="29"/>
  <c r="Q9" i="39" l="1"/>
  <c r="F15" i="35"/>
  <c r="G15" i="29" s="1" a="1"/>
  <c r="G15" i="29" s="1"/>
  <c r="L16" i="29" s="1"/>
  <c r="AA9" i="29"/>
  <c r="V10" i="35"/>
  <c r="T9" i="26"/>
  <c r="Q9" i="29"/>
  <c r="L10" i="29"/>
  <c r="Q10" i="29"/>
  <c r="P15" i="29"/>
  <c r="K17" i="29"/>
  <c r="U16" i="29"/>
  <c r="U11" i="29"/>
  <c r="U14" i="29"/>
  <c r="U10" i="29"/>
  <c r="U13" i="29"/>
  <c r="U9" i="29"/>
  <c r="U12" i="29"/>
  <c r="G12" i="29"/>
  <c r="E16" i="29"/>
  <c r="F16" i="29"/>
  <c r="O15" i="29"/>
  <c r="P9" i="39" l="1"/>
  <c r="P10" i="39"/>
  <c r="Z10" i="29"/>
  <c r="Z9" i="29"/>
  <c r="U10" i="35"/>
  <c r="U11" i="35"/>
  <c r="S9" i="26"/>
  <c r="S10" i="26"/>
  <c r="G14" i="29"/>
  <c r="L13" i="29"/>
  <c r="L15" i="29" s="1"/>
  <c r="U15" i="29"/>
  <c r="T15" i="29"/>
  <c r="Q14" i="29"/>
  <c r="Q16" i="29" s="1"/>
  <c r="G16" i="29" l="1"/>
  <c r="R18" i="29"/>
  <c r="Q15" i="29"/>
  <c r="L17" i="29"/>
  <c r="V11" i="29"/>
  <c r="V9" i="29"/>
  <c r="V14" i="29"/>
  <c r="V8" i="29"/>
  <c r="V13" i="29"/>
  <c r="V10" i="29"/>
  <c r="V16" i="29"/>
  <c r="V12" i="29"/>
  <c r="P19" i="35" l="1"/>
  <c r="G15" i="35"/>
  <c r="H15" i="35" s="1"/>
  <c r="R13" i="29"/>
  <c r="V15" i="29"/>
  <c r="H12" i="29"/>
  <c r="P11" i="39" l="1"/>
  <c r="D18" i="39"/>
  <c r="I23" i="37"/>
  <c r="F10" i="37"/>
  <c r="I22" i="37"/>
  <c r="Z11" i="29"/>
  <c r="H15" i="29" a="1"/>
  <c r="H15" i="29" s="1"/>
  <c r="Q14" i="39" s="1"/>
  <c r="M14" i="26"/>
  <c r="N14" i="26"/>
  <c r="P14" i="26"/>
  <c r="O14" i="26"/>
  <c r="L14" i="26"/>
  <c r="O26" i="37" s="1"/>
  <c r="O24" i="37"/>
  <c r="O25" i="37"/>
  <c r="U12" i="35"/>
  <c r="H14" i="29"/>
  <c r="Q19" i="39" s="1"/>
  <c r="S11" i="26"/>
  <c r="R14" i="29"/>
  <c r="P28" i="35"/>
  <c r="M13" i="29"/>
  <c r="Q13" i="39" l="1"/>
  <c r="D17" i="39"/>
  <c r="AA14" i="29"/>
  <c r="D16" i="39"/>
  <c r="AA19" i="29"/>
  <c r="D8" i="39"/>
  <c r="AA13" i="29"/>
  <c r="R15" i="29"/>
  <c r="P14" i="39" s="1"/>
  <c r="V14" i="35"/>
  <c r="H16" i="29"/>
  <c r="V15" i="35"/>
  <c r="V20" i="35"/>
  <c r="T19" i="26"/>
  <c r="T14" i="26"/>
  <c r="T13" i="26"/>
  <c r="M15" i="29"/>
  <c r="W8" i="29" s="1"/>
  <c r="M16" i="29"/>
  <c r="Q20" i="39" l="1"/>
  <c r="D19" i="39"/>
  <c r="R8" i="39"/>
  <c r="Z14" i="29"/>
  <c r="D13" i="39"/>
  <c r="AA20" i="29"/>
  <c r="F9" i="37"/>
  <c r="F11" i="37" s="1"/>
  <c r="AB8" i="29"/>
  <c r="V21" i="35"/>
  <c r="R16" i="29"/>
  <c r="R19" i="39" s="1"/>
  <c r="U15" i="35"/>
  <c r="W9" i="35"/>
  <c r="S14" i="26"/>
  <c r="U8" i="26"/>
  <c r="T20" i="26"/>
  <c r="W9" i="29"/>
  <c r="W10" i="29"/>
  <c r="W16" i="29"/>
  <c r="W11" i="29"/>
  <c r="W13" i="29"/>
  <c r="M17" i="29"/>
  <c r="W12" i="29"/>
  <c r="W14" i="29"/>
  <c r="W15" i="29"/>
  <c r="R14" i="39" s="1"/>
  <c r="R9" i="39" l="1"/>
  <c r="R13" i="39"/>
  <c r="R12" i="39"/>
  <c r="R10" i="39"/>
  <c r="R20" i="39"/>
  <c r="R11" i="39"/>
  <c r="D20" i="39"/>
  <c r="Q23" i="39" s="1"/>
  <c r="Q22" i="39"/>
  <c r="AB19" i="29"/>
  <c r="AB14" i="29"/>
  <c r="AB13" i="29"/>
  <c r="AB11" i="29"/>
  <c r="AB12" i="29"/>
  <c r="AB9" i="29"/>
  <c r="AB10" i="29"/>
  <c r="W14" i="35"/>
  <c r="W15" i="35"/>
  <c r="W12" i="35"/>
  <c r="W13" i="35"/>
  <c r="W20" i="35"/>
  <c r="W10" i="35"/>
  <c r="W11" i="35"/>
  <c r="U13" i="26"/>
  <c r="U12" i="26"/>
  <c r="U19" i="26"/>
  <c r="U10" i="26"/>
  <c r="U11" i="26"/>
  <c r="U14" i="26"/>
  <c r="U9" i="26"/>
  <c r="H25" i="17" l="1"/>
  <c r="AB20" i="29"/>
  <c r="U20" i="26"/>
  <c r="W21" i="35"/>
  <c r="D15" i="26" l="1"/>
  <c r="D17" i="26" s="1"/>
  <c r="L17" i="26" s="1"/>
  <c r="L18" i="26" l="1"/>
  <c r="L19" i="26" s="1"/>
  <c r="L20" i="26" s="1"/>
  <c r="L21" i="26" s="1"/>
  <c r="O9" i="37"/>
  <c r="O11" i="37" s="1"/>
  <c r="D19" i="26"/>
  <c r="L23" i="37" l="1"/>
  <c r="L24" i="37"/>
  <c r="M26" i="26"/>
  <c r="M27" i="26" s="1"/>
  <c r="E13" i="26" s="1"/>
  <c r="M12" i="26"/>
  <c r="J27" i="17" l="1"/>
  <c r="E15" i="26"/>
  <c r="E17" i="26" s="1"/>
  <c r="M17" i="26" s="1"/>
  <c r="P9" i="37" s="1"/>
  <c r="P11" i="37" s="1"/>
  <c r="M18" i="26" l="1"/>
  <c r="M19" i="26" s="1"/>
  <c r="M20" i="26" s="1"/>
  <c r="M21" i="26" s="1"/>
  <c r="N26" i="26" l="1"/>
  <c r="N27" i="26" s="1"/>
  <c r="F13" i="26" s="1"/>
  <c r="N12" i="26"/>
  <c r="F15" i="26" l="1"/>
  <c r="F17" i="26" s="1"/>
  <c r="N17" i="26" s="1"/>
  <c r="Q9" i="37" s="1"/>
  <c r="Q11" i="37" s="1"/>
  <c r="N18" i="26" l="1"/>
  <c r="N19" i="26" l="1"/>
  <c r="N20" i="26" s="1"/>
  <c r="O26" i="26" l="1"/>
  <c r="O27" i="26" s="1"/>
  <c r="G13" i="26" s="1"/>
  <c r="N21" i="26"/>
  <c r="O12" i="26"/>
  <c r="G15" i="26" l="1"/>
  <c r="G17" i="26" s="1"/>
  <c r="O17" i="26" s="1"/>
  <c r="R9" i="37" s="1"/>
  <c r="R11" i="37" s="1"/>
  <c r="O18" i="26" l="1"/>
  <c r="O19" i="26" l="1"/>
  <c r="O20" i="26" s="1"/>
  <c r="O21" i="26" l="1"/>
  <c r="P26" i="26"/>
  <c r="P27" i="26" s="1"/>
  <c r="H13" i="26" s="1"/>
  <c r="P12" i="26"/>
  <c r="H15" i="26" l="1"/>
  <c r="H17" i="26" s="1"/>
  <c r="P17" i="26" s="1"/>
  <c r="S9" i="37" l="1"/>
  <c r="S11" i="37" s="1"/>
  <c r="P18" i="26"/>
  <c r="P19" i="26" s="1"/>
  <c r="P20" i="26" s="1"/>
  <c r="P21" i="26" s="1"/>
  <c r="AA22" i="29"/>
  <c r="I9" i="37"/>
  <c r="V23" i="35"/>
  <c r="T22" i="26"/>
  <c r="I11" i="37"/>
  <c r="R22" i="39" s="1"/>
  <c r="AB22" i="29" l="1"/>
  <c r="G15" i="39"/>
  <c r="H26" i="17"/>
  <c r="U22" i="26"/>
  <c r="W23" i="35"/>
  <c r="I15" i="39" l="1"/>
  <c r="L15" i="39" s="1"/>
  <c r="I18" i="39"/>
  <c r="L18" i="39" s="1"/>
  <c r="I17" i="39"/>
  <c r="L17" i="39" s="1"/>
  <c r="I16" i="39"/>
  <c r="L16" i="39" s="1"/>
  <c r="L19" i="39" l="1"/>
  <c r="S12" i="37" l="1"/>
  <c r="T12" i="37"/>
  <c r="N12" i="37"/>
  <c r="O12" i="37"/>
  <c r="R12" i="37"/>
  <c r="P12" i="37"/>
  <c r="Q12" i="37"/>
  <c r="O13" i="37" l="1"/>
  <c r="H28" i="17" l="1"/>
  <c r="O20" i="37"/>
  <c r="O27" i="37" s="1"/>
  <c r="T23" i="26"/>
  <c r="J28" i="17" l="1"/>
  <c r="AA23" i="29"/>
  <c r="I16" i="37"/>
  <c r="I20" i="37" s="1"/>
  <c r="I24" i="37" s="1"/>
  <c r="V24" i="35"/>
  <c r="R23" i="39" l="1"/>
  <c r="W24" i="35"/>
  <c r="J26" i="17"/>
  <c r="AB23" i="29"/>
  <c r="U23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891E2E3-4995-4C30-A1F0-1F3DE799E878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564AABA2-4914-47C5-95E6-2CD18CE9B250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4" authorId="0" shapeId="0" xr:uid="{AE3F1DED-A1B2-4FF6-8F28-BCED69CBC0D9}">
      <text/>
    </comment>
    <comment ref="C9" authorId="0" shapeId="0" xr:uid="{CBBA3A81-2CC0-4C57-BE30-F356F2FBE4D4}">
      <text>
        <r>
          <rPr>
            <sz val="9.5"/>
            <color indexed="81"/>
            <rFont val="Calibri"/>
            <family val="2"/>
            <scheme val="minor"/>
          </rPr>
          <t xml:space="preserve"> Series A co-invest rights to buy into Series B</t>
        </r>
      </text>
    </comment>
    <comment ref="C13" authorId="0" shapeId="0" xr:uid="{261773DF-5685-40FA-9EF3-287E6D3C6506}">
      <text>
        <r>
          <rPr>
            <sz val="9.5"/>
            <color indexed="81"/>
            <rFont val="Calibri"/>
            <family val="2"/>
            <scheme val="minor"/>
          </rPr>
          <t xml:space="preserve"> Initial investment by Founders</t>
        </r>
      </text>
    </comment>
    <comment ref="O19" authorId="0" shapeId="0" xr:uid="{9F90A413-ED98-48B6-99AA-ED23461B92F5}">
      <text>
        <r>
          <rPr>
            <sz val="9.5"/>
            <color indexed="81"/>
            <rFont val="Calibri"/>
            <family val="2"/>
            <scheme val="minor"/>
          </rPr>
          <t xml:space="preserve"> = Share price in Post-Money valuation</t>
        </r>
      </text>
    </comment>
    <comment ref="O20" authorId="0" shapeId="0" xr:uid="{BCD90F0D-258F-4EA9-979C-0FD9A1A103D6}">
      <text>
        <r>
          <rPr>
            <sz val="9.5"/>
            <color indexed="81"/>
            <rFont val="Calibri"/>
            <family val="2"/>
            <scheme val="minor"/>
          </rPr>
          <t xml:space="preserve"> = Share price in Market valuations</t>
        </r>
      </text>
    </comment>
    <comment ref="O26" authorId="0" shapeId="0" xr:uid="{96F35049-8E87-4D75-859C-4F4A46A43586}">
      <text>
        <r>
          <rPr>
            <sz val="9.5"/>
            <color indexed="81"/>
            <rFont val="Calibri"/>
            <family val="2"/>
            <scheme val="minor"/>
          </rPr>
          <t xml:space="preserve"> Annual forecast until depleted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710BCCD5-AA93-4DAD-9131-94C83D4B1987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 xr:uid="{E14006E2-7095-4687-960A-0A5F4683405E}">
      <text>
        <r>
          <rPr>
            <sz val="9.5"/>
            <color indexed="81"/>
            <rFont val="Calibri"/>
            <family val="2"/>
            <scheme val="minor"/>
          </rPr>
          <t xml:space="preserve"> Shares Outstanding (as-converted in IPO round) = top line in Share Count table</t>
        </r>
      </text>
    </comment>
    <comment ref="C15" authorId="0" shapeId="0" xr:uid="{9ECA443E-8275-4F81-A7BF-CCACF7017DD2}">
      <text>
        <r>
          <rPr>
            <sz val="9.5"/>
            <color indexed="81"/>
            <rFont val="Calibri"/>
            <family val="2"/>
            <scheme val="minor"/>
          </rPr>
          <t xml:space="preserve"> Common Equivalent Shares (as-converted in IPO round) = options outstanding in Share Count table</t>
        </r>
      </text>
    </comment>
    <comment ref="C16" authorId="0" shapeId="0" xr:uid="{9CA2794B-9729-4C14-BBE9-A536E619615E}">
      <text>
        <r>
          <rPr>
            <sz val="9.5"/>
            <color indexed="81"/>
            <rFont val="Calibri"/>
            <family val="2"/>
            <scheme val="minor"/>
          </rPr>
          <t xml:space="preserve"> Common Equivalent Shares (as-converted in IPO round) = share count in Post-Money valuation</t>
        </r>
      </text>
    </comment>
    <comment ref="C18" authorId="0" shapeId="0" xr:uid="{64F862F2-FE54-453A-9E46-5CA5D7410176}">
      <text>
        <r>
          <rPr>
            <sz val="9.5"/>
            <color indexed="81"/>
            <rFont val="Calibri"/>
            <family val="2"/>
            <scheme val="minor"/>
          </rPr>
          <t xml:space="preserve"> = Price/Share in Post-Money valuation.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6E5893D4-78F4-4B5C-A8E4-1D0B483668A9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 xr:uid="{B8E8A2CB-E91C-42D7-BD2E-AD3421A20930}">
      <text>
        <r>
          <rPr>
            <sz val="9.5"/>
            <color indexed="81"/>
            <rFont val="Calibri"/>
            <family val="2"/>
            <scheme val="minor"/>
          </rPr>
          <t xml:space="preserve"> = Cash flow forecast in DCF valuation</t>
        </r>
      </text>
    </comment>
    <comment ref="C18" authorId="0" shapeId="0" xr:uid="{5E90F655-0DE5-40DF-838D-83E14BCC8C88}">
      <text>
        <r>
          <rPr>
            <sz val="9.5"/>
            <color indexed="81"/>
            <rFont val="Calibri"/>
            <family val="2"/>
            <scheme val="minor"/>
          </rPr>
          <t xml:space="preserve"> Used in EV/EBITDA valuation</t>
        </r>
      </text>
    </comment>
    <comment ref="C19" authorId="0" shapeId="0" xr:uid="{88DE5FE6-7ADA-4D21-8DC2-2C5482D079BF}">
      <text>
        <r>
          <rPr>
            <sz val="9.5"/>
            <color indexed="81"/>
            <rFont val="Calibri"/>
            <family val="2"/>
            <scheme val="minor"/>
          </rPr>
          <t xml:space="preserve"> Used in P/E valuation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9874461A-3246-42ED-9C1A-8F43D76921E9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D13" authorId="0" shapeId="0" xr:uid="{26F299BE-B3E9-4BAA-A124-A976E5DDD1E6}">
      <text>
        <r>
          <rPr>
            <sz val="9.5"/>
            <color indexed="81"/>
            <rFont val="Calibri"/>
            <family val="2"/>
            <scheme val="minor"/>
          </rPr>
          <t xml:space="preserve"> = Share count in Market Cap valuation</t>
        </r>
      </text>
    </comment>
    <comment ref="F15" authorId="0" shapeId="0" xr:uid="{669567BA-3D61-4DA2-A474-6A8FA96848C1}">
      <text>
        <r>
          <rPr>
            <sz val="9.5"/>
            <color indexed="81"/>
            <rFont val="Calibri"/>
            <family val="2"/>
            <scheme val="minor"/>
          </rPr>
          <t xml:space="preserve"> = Market Cap</t>
        </r>
      </text>
    </comment>
    <comment ref="L15" authorId="0" shapeId="0" xr:uid="{CFE747D7-161F-4870-AD6D-25C597EC305F}">
      <text>
        <r>
          <rPr>
            <sz val="9.5"/>
            <color indexed="81"/>
            <rFont val="Calibri"/>
            <family val="2"/>
            <scheme val="minor"/>
          </rPr>
          <t xml:space="preserve"> Frome RoE calculation above</t>
        </r>
      </text>
    </comment>
    <comment ref="L19" authorId="0" shapeId="0" xr:uid="{43ADB8CF-1CC3-405E-B569-18C66FBFA938}">
      <text>
        <r>
          <rPr>
            <sz val="9.5"/>
            <color indexed="81"/>
            <rFont val="Calibri"/>
            <family val="2"/>
            <scheme val="minor"/>
          </rPr>
          <t xml:space="preserve"> = Discount rate in DCF valuation</t>
        </r>
      </text>
    </comment>
    <comment ref="D20" authorId="0" shapeId="0" xr:uid="{3CF05DA6-DF95-4202-AC37-9F15B9A40C79}">
      <text>
        <r>
          <rPr>
            <sz val="9.5"/>
            <color indexed="81"/>
            <rFont val="Calibri"/>
            <family val="2"/>
            <scheme val="minor"/>
          </rPr>
          <t xml:space="preserve"> = Share count in Diluted Cap valuation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38C1C00-5BA8-445C-8081-0761060BAF20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<sst xmlns="http://schemas.openxmlformats.org/spreadsheetml/2006/main" count="490" uniqueCount="302">
  <si>
    <t>Series A</t>
  </si>
  <si>
    <t>Series B</t>
  </si>
  <si>
    <t>Terminal</t>
  </si>
  <si>
    <t>Earnings</t>
  </si>
  <si>
    <t>EBITDA</t>
  </si>
  <si>
    <t>IPO</t>
  </si>
  <si>
    <t>Balance</t>
  </si>
  <si>
    <t>info</t>
  </si>
  <si>
    <t>Seed</t>
  </si>
  <si>
    <t xml:space="preserve"> Cost of capital</t>
  </si>
  <si>
    <t>Pre-money</t>
  </si>
  <si>
    <t>Options</t>
  </si>
  <si>
    <t>Mechanics</t>
  </si>
  <si>
    <t xml:space="preserve">Instruments </t>
  </si>
  <si>
    <t>Calculations</t>
  </si>
  <si>
    <t xml:space="preserve"> Price per share</t>
  </si>
  <si>
    <t xml:space="preserve"> Fully-diluted shares</t>
  </si>
  <si>
    <t xml:space="preserve"> Convertible notes</t>
  </si>
  <si>
    <t xml:space="preserve"> Stock options</t>
  </si>
  <si>
    <t xml:space="preserve"> Liquidity preference</t>
  </si>
  <si>
    <t xml:space="preserve"> 3 funding rounds + IPO</t>
  </si>
  <si>
    <t>Primary</t>
  </si>
  <si>
    <t>Secondary</t>
  </si>
  <si>
    <t>Parallels</t>
  </si>
  <si>
    <t>RSU</t>
  </si>
  <si>
    <t>Total</t>
  </si>
  <si>
    <t>Founders</t>
  </si>
  <si>
    <t xml:space="preserve"> Pro-rata investment</t>
  </si>
  <si>
    <t xml:space="preserve"> Restricted stock</t>
  </si>
  <si>
    <t xml:space="preserve"> Exercise proceeds</t>
  </si>
  <si>
    <t>Fundraising</t>
  </si>
  <si>
    <t>Group A</t>
  </si>
  <si>
    <t>Group B</t>
  </si>
  <si>
    <t>Conv. Notes</t>
  </si>
  <si>
    <t>Public float</t>
  </si>
  <si>
    <t>Subtotal</t>
  </si>
  <si>
    <t>Sales</t>
  </si>
  <si>
    <t>Dividends</t>
  </si>
  <si>
    <t>Valuation</t>
  </si>
  <si>
    <t>Rate</t>
  </si>
  <si>
    <t>Growth</t>
  </si>
  <si>
    <t>Equity Bridge</t>
  </si>
  <si>
    <t>Shares outstanding</t>
  </si>
  <si>
    <t xml:space="preserve"> Stage</t>
  </si>
  <si>
    <t xml:space="preserve"> Purpose</t>
  </si>
  <si>
    <t xml:space="preserve"> Benchmark</t>
  </si>
  <si>
    <t xml:space="preserve"> Drivers</t>
  </si>
  <si>
    <t>Discounted Cash Flow</t>
  </si>
  <si>
    <t>Industry Multiple</t>
  </si>
  <si>
    <t>Market Value</t>
  </si>
  <si>
    <t>Post-Money</t>
  </si>
  <si>
    <t>EV/EBITDA</t>
  </si>
  <si>
    <t>Price/Earnings</t>
  </si>
  <si>
    <t xml:space="preserve"> Treasury stock method</t>
  </si>
  <si>
    <t xml:space="preserve"> Dilutive effects</t>
  </si>
  <si>
    <t xml:space="preserve"> Conversion ratios</t>
  </si>
  <si>
    <t xml:space="preserve"> Post-money value</t>
  </si>
  <si>
    <t xml:space="preserve"> Common shares</t>
  </si>
  <si>
    <t xml:space="preserve"> Preferred shares</t>
  </si>
  <si>
    <t>Valuation methods</t>
  </si>
  <si>
    <t>Post-money</t>
  </si>
  <si>
    <t>Market cap</t>
  </si>
  <si>
    <t>Discounted cash flow</t>
  </si>
  <si>
    <t>Equity bridge</t>
  </si>
  <si>
    <t xml:space="preserve"> 5-yr. operational forecast</t>
  </si>
  <si>
    <t>• Four primary methods broken down by attribute</t>
  </si>
  <si>
    <t>• Examples of intrinsic, relative, and perceived value</t>
  </si>
  <si>
    <t>• Impacts of time, maturity, and historical performance</t>
  </si>
  <si>
    <t xml:space="preserve"> Debt &amp; Line of credit</t>
  </si>
  <si>
    <t>EV/EBITDA &amp; P/E</t>
  </si>
  <si>
    <t>A tool for understanding the factors that drive valuation:</t>
  </si>
  <si>
    <t>Enterprise</t>
  </si>
  <si>
    <t>Equity</t>
  </si>
  <si>
    <t>Investment</t>
  </si>
  <si>
    <t>Line of Credit</t>
  </si>
  <si>
    <t>Ledger</t>
  </si>
  <si>
    <t>Debt</t>
  </si>
  <si>
    <t>Terms</t>
  </si>
  <si>
    <t>Shares</t>
  </si>
  <si>
    <t xml:space="preserve">  Grant</t>
  </si>
  <si>
    <t xml:space="preserve">  Discount</t>
  </si>
  <si>
    <t xml:space="preserve">  Shares cap</t>
  </si>
  <si>
    <t>Valuation Summary</t>
  </si>
  <si>
    <t xml:space="preserve">  Collected</t>
  </si>
  <si>
    <t xml:space="preserve">  Paid</t>
  </si>
  <si>
    <t>Share price</t>
  </si>
  <si>
    <t>Drivers</t>
  </si>
  <si>
    <t>Private listing</t>
  </si>
  <si>
    <t>Liquidation value</t>
  </si>
  <si>
    <t>Comp sale</t>
  </si>
  <si>
    <t>Option value</t>
  </si>
  <si>
    <t xml:space="preserve">  Pro rata</t>
  </si>
  <si>
    <t xml:space="preserve">  Investors</t>
  </si>
  <si>
    <t xml:space="preserve">  RSUs</t>
  </si>
  <si>
    <t xml:space="preserve">  Conversion</t>
  </si>
  <si>
    <t xml:space="preserve">  Liquidity pref</t>
  </si>
  <si>
    <t xml:space="preserve">  Sales</t>
  </si>
  <si>
    <t xml:space="preserve">  COGS</t>
  </si>
  <si>
    <t xml:space="preserve">  CapEx</t>
  </si>
  <si>
    <t xml:space="preserve">  Dividend</t>
  </si>
  <si>
    <t>Comp A</t>
  </si>
  <si>
    <t>Comp B</t>
  </si>
  <si>
    <t>Comp C</t>
  </si>
  <si>
    <t>Overhead</t>
  </si>
  <si>
    <t>Interest</t>
  </si>
  <si>
    <t>CapEx</t>
  </si>
  <si>
    <t>Taxes</t>
  </si>
  <si>
    <t>COGS</t>
  </si>
  <si>
    <t>Enterprise Value</t>
  </si>
  <si>
    <t>Industry EV</t>
  </si>
  <si>
    <t>Industry Price</t>
  </si>
  <si>
    <t xml:space="preserve">  Credit line</t>
  </si>
  <si>
    <t>A</t>
  </si>
  <si>
    <t>B</t>
  </si>
  <si>
    <t xml:space="preserve">  Current</t>
  </si>
  <si>
    <t xml:space="preserve">  RSUs issued</t>
  </si>
  <si>
    <t xml:space="preserve">  Employee SPP</t>
  </si>
  <si>
    <t xml:space="preserve">  Buybacks</t>
  </si>
  <si>
    <t xml:space="preserve">  Exercised</t>
  </si>
  <si>
    <t xml:space="preserve">  Strike price</t>
  </si>
  <si>
    <t xml:space="preserve">  10-yr Treasury</t>
  </si>
  <si>
    <t xml:space="preserve">  EBITDA</t>
  </si>
  <si>
    <t xml:space="preserve">  Earnings</t>
  </si>
  <si>
    <t xml:space="preserve">  Terminal growth</t>
  </si>
  <si>
    <t xml:space="preserve">  Short term</t>
  </si>
  <si>
    <t xml:space="preserve">  Long term</t>
  </si>
  <si>
    <t>Cash balance</t>
  </si>
  <si>
    <t xml:space="preserve">  New grants</t>
  </si>
  <si>
    <t>+ Exercise proceeds</t>
  </si>
  <si>
    <t xml:space="preserve"> ⎯ CapEx</t>
  </si>
  <si>
    <t>Cap Table</t>
  </si>
  <si>
    <t>= Free CF</t>
  </si>
  <si>
    <t xml:space="preserve">  Company beta</t>
  </si>
  <si>
    <t>Paid w/credit</t>
  </si>
  <si>
    <t xml:space="preserve">  Collections</t>
  </si>
  <si>
    <t xml:space="preserve">  Remittance</t>
  </si>
  <si>
    <t xml:space="preserve">  Starting</t>
  </si>
  <si>
    <t xml:space="preserve">  Minimum</t>
  </si>
  <si>
    <t xml:space="preserve">  Enterprise value</t>
  </si>
  <si>
    <t xml:space="preserve">  Market value</t>
  </si>
  <si>
    <t xml:space="preserve">  $ Pre-money</t>
  </si>
  <si>
    <t xml:space="preserve">  $ Seed</t>
  </si>
  <si>
    <t xml:space="preserve">  $ Issued</t>
  </si>
  <si>
    <t>Metric</t>
  </si>
  <si>
    <t>Cap</t>
  </si>
  <si>
    <t xml:space="preserve">  Founders</t>
  </si>
  <si>
    <t>Amount</t>
  </si>
  <si>
    <t>Fundraising Summary</t>
  </si>
  <si>
    <t xml:space="preserve">  RSU</t>
  </si>
  <si>
    <t xml:space="preserve">  Conv. Notes</t>
  </si>
  <si>
    <t xml:space="preserve">  Options CSE</t>
  </si>
  <si>
    <t xml:space="preserve">  Group A</t>
  </si>
  <si>
    <t xml:space="preserve">  Group B</t>
  </si>
  <si>
    <t xml:space="preserve">  IPO</t>
  </si>
  <si>
    <t xml:space="preserve">  Public Float</t>
  </si>
  <si>
    <t xml:space="preserve"> Method</t>
  </si>
  <si>
    <t xml:space="preserve">   Basic</t>
  </si>
  <si>
    <t xml:space="preserve">   Comm equiv</t>
  </si>
  <si>
    <t xml:space="preserve">   EV / EBITDA</t>
  </si>
  <si>
    <t xml:space="preserve">   Price/Earngs</t>
  </si>
  <si>
    <t xml:space="preserve">   Present Value</t>
  </si>
  <si>
    <t xml:space="preserve">   Equity bridge</t>
  </si>
  <si>
    <t xml:space="preserve">  Pre-money</t>
  </si>
  <si>
    <t>Basic Shares</t>
  </si>
  <si>
    <t>Industry Comps</t>
  </si>
  <si>
    <r>
      <t>Valuation</t>
    </r>
    <r>
      <rPr>
        <sz val="10"/>
        <rFont val="Segoe UI Semibold"/>
        <family val="2"/>
      </rPr>
      <t xml:space="preserve"> &amp; </t>
    </r>
    <r>
      <rPr>
        <sz val="11"/>
        <rFont val="Segoe UI Semibold"/>
        <family val="2"/>
      </rPr>
      <t>Shares</t>
    </r>
  </si>
  <si>
    <t>Operations</t>
  </si>
  <si>
    <t>Income tax</t>
  </si>
  <si>
    <t xml:space="preserve">  Corp. rate</t>
  </si>
  <si>
    <t>$ Starting</t>
  </si>
  <si>
    <r>
      <rPr>
        <sz val="8.5"/>
        <rFont val="Segoe UI Semibold"/>
        <family val="2"/>
      </rPr>
      <t xml:space="preserve">  </t>
    </r>
    <r>
      <rPr>
        <i/>
        <sz val="8.5"/>
        <rFont val="Segoe UI Semibold"/>
        <family val="2"/>
      </rPr>
      <t>Mkt value</t>
    </r>
  </si>
  <si>
    <r>
      <rPr>
        <sz val="8.5"/>
        <rFont val="Segoe UI Semibold"/>
        <family val="2"/>
      </rPr>
      <t xml:space="preserve">  </t>
    </r>
    <r>
      <rPr>
        <i/>
        <sz val="8.5"/>
        <rFont val="Segoe UI Semibold"/>
        <family val="2"/>
      </rPr>
      <t>Multiple</t>
    </r>
  </si>
  <si>
    <r>
      <rPr>
        <sz val="8.5"/>
        <rFont val="Segoe UI Semibold"/>
        <family val="2"/>
      </rPr>
      <t xml:space="preserve">  </t>
    </r>
    <r>
      <rPr>
        <i/>
        <sz val="8.5"/>
        <rFont val="Segoe UI Semibold"/>
        <family val="2"/>
      </rPr>
      <t>DCF</t>
    </r>
  </si>
  <si>
    <t>Balances</t>
  </si>
  <si>
    <t>Short-term</t>
  </si>
  <si>
    <t>Long-term</t>
  </si>
  <si>
    <t>Ending balance</t>
  </si>
  <si>
    <t xml:space="preserve">   Starting cash</t>
  </si>
  <si>
    <t xml:space="preserve">   + New debt</t>
  </si>
  <si>
    <t xml:space="preserve">    ⎯ Capital exp.</t>
  </si>
  <si>
    <t xml:space="preserve">    ⎯ Dividends</t>
  </si>
  <si>
    <t xml:space="preserve">   Unadjusted. cash</t>
  </si>
  <si>
    <t xml:space="preserve">     Borrow/Repay</t>
  </si>
  <si>
    <t>Weight</t>
  </si>
  <si>
    <t xml:space="preserve">Cost </t>
  </si>
  <si>
    <t>Cash from Operatios</t>
  </si>
  <si>
    <t xml:space="preserve"> ⎯ OTM Liquidity Pref</t>
  </si>
  <si>
    <t>Class B Preferred</t>
  </si>
  <si>
    <t>Class A Preferred</t>
  </si>
  <si>
    <t>+ Cash balance at IPO</t>
  </si>
  <si>
    <t xml:space="preserve"> ⎯ Debt balance at IPO</t>
  </si>
  <si>
    <t xml:space="preserve"> Group</t>
  </si>
  <si>
    <t>Share Count</t>
  </si>
  <si>
    <t>Price / Share</t>
  </si>
  <si>
    <t>∑ Enterprise value</t>
  </si>
  <si>
    <t>Equity value</t>
  </si>
  <si>
    <t>Unadjusted</t>
  </si>
  <si>
    <t xml:space="preserve"> Class B</t>
  </si>
  <si>
    <t xml:space="preserve"> Class A</t>
  </si>
  <si>
    <t>Enterprise value</t>
  </si>
  <si>
    <t>avg:</t>
  </si>
  <si>
    <t>x  Co's. EBITDA</t>
  </si>
  <si>
    <t>x  Co's. Earnings</t>
  </si>
  <si>
    <t>÷ EBITDA</t>
  </si>
  <si>
    <t>÷ Earnings</t>
  </si>
  <si>
    <t xml:space="preserve">   + Exercises</t>
  </si>
  <si>
    <t>Exercises</t>
  </si>
  <si>
    <r>
      <t xml:space="preserve">   + Cash in/</t>
    </r>
    <r>
      <rPr>
        <sz val="9"/>
        <color rgb="FFFF0000"/>
        <rFont val="Segoe UI"/>
        <family val="2"/>
      </rPr>
      <t>out</t>
    </r>
  </si>
  <si>
    <t>Convert notes</t>
  </si>
  <si>
    <r>
      <t xml:space="preserve">  Avg return, S</t>
    </r>
    <r>
      <rPr>
        <sz val="4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&amp;</t>
    </r>
    <r>
      <rPr>
        <sz val="4"/>
        <color theme="1"/>
        <rFont val="Segoe UI"/>
        <family val="2"/>
      </rPr>
      <t xml:space="preserve"> </t>
    </r>
    <r>
      <rPr>
        <sz val="9"/>
        <color theme="1"/>
        <rFont val="Segoe UI"/>
        <family val="2"/>
      </rPr>
      <t>P</t>
    </r>
  </si>
  <si>
    <r>
      <t>Note: Drivers tab is populated with sample data.  Select</t>
    </r>
    <r>
      <rPr>
        <sz val="9"/>
        <color rgb="FF9A0000"/>
        <rFont val="Calibri"/>
        <family val="2"/>
        <scheme val="minor"/>
      </rPr>
      <t xml:space="preserve"> &gt; </t>
    </r>
    <r>
      <rPr>
        <i/>
        <sz val="9"/>
        <color rgb="FF9A0000"/>
        <rFont val="Calibri"/>
        <family val="2"/>
        <scheme val="minor"/>
      </rPr>
      <t>Delete to clear cells.</t>
    </r>
  </si>
  <si>
    <t xml:space="preserve">   Market cap</t>
  </si>
  <si>
    <t xml:space="preserve">   Diluted cap</t>
  </si>
  <si>
    <t>Diluted cap</t>
  </si>
  <si>
    <t>Intrinsic</t>
  </si>
  <si>
    <t>DCF</t>
  </si>
  <si>
    <t>Market</t>
  </si>
  <si>
    <t>Relative</t>
  </si>
  <si>
    <t xml:space="preserve">  Overhead</t>
  </si>
  <si>
    <t xml:space="preserve"> Type</t>
  </si>
  <si>
    <r>
      <rPr>
        <sz val="4"/>
        <color rgb="FF0066CC"/>
        <rFont val="Segoe UI"/>
        <family val="2"/>
      </rPr>
      <t xml:space="preserve"> </t>
    </r>
    <r>
      <rPr>
        <sz val="9"/>
        <color rgb="FF0066CC"/>
        <rFont val="Segoe UI"/>
        <family val="2"/>
      </rPr>
      <t>⚫</t>
    </r>
    <r>
      <rPr>
        <sz val="6"/>
        <color rgb="FF0066CC"/>
        <rFont val="Segoe UI"/>
        <family val="2"/>
      </rPr>
      <t xml:space="preserve"> </t>
    </r>
    <r>
      <rPr>
        <sz val="9"/>
        <rFont val="Segoe UI"/>
        <family val="2"/>
      </rPr>
      <t>Enterprise</t>
    </r>
  </si>
  <si>
    <r>
      <rPr>
        <sz val="4"/>
        <color rgb="FF008000"/>
        <rFont val="Segoe UI"/>
        <family val="2"/>
      </rPr>
      <t xml:space="preserve"> </t>
    </r>
    <r>
      <rPr>
        <sz val="9"/>
        <color rgb="FF008000"/>
        <rFont val="Segoe UI"/>
        <family val="2"/>
      </rPr>
      <t>⚫</t>
    </r>
    <r>
      <rPr>
        <sz val="6"/>
        <color rgb="FF008000"/>
        <rFont val="Segoe UI"/>
        <family val="2"/>
      </rPr>
      <t xml:space="preserve"> </t>
    </r>
    <r>
      <rPr>
        <sz val="9"/>
        <rFont val="Segoe UI"/>
        <family val="2"/>
      </rPr>
      <t>Equity</t>
    </r>
  </si>
  <si>
    <r>
      <rPr>
        <sz val="9"/>
        <color rgb="FF275EE9"/>
        <rFont val="Segoe UI Black"/>
        <family val="2"/>
      </rPr>
      <t>❻</t>
    </r>
    <r>
      <rPr>
        <sz val="9"/>
        <rFont val="Segoe UI Semibold"/>
        <family val="2"/>
      </rPr>
      <t xml:space="preserve"> Discounted Cash Flow</t>
    </r>
  </si>
  <si>
    <r>
      <rPr>
        <sz val="9"/>
        <color rgb="FF008000"/>
        <rFont val="Segoe UI Black"/>
        <family val="2"/>
      </rPr>
      <t>❼</t>
    </r>
    <r>
      <rPr>
        <sz val="9"/>
        <color rgb="FF007400"/>
        <rFont val="Segoe UI Semibold"/>
        <family val="2"/>
      </rPr>
      <t xml:space="preserve"> </t>
    </r>
    <r>
      <rPr>
        <sz val="9"/>
        <rFont val="Segoe UI Semibold"/>
        <family val="2"/>
      </rPr>
      <t>Equity Bridge</t>
    </r>
  </si>
  <si>
    <r>
      <rPr>
        <sz val="9.5"/>
        <color rgb="FF275EE9"/>
        <rFont val="Segoe UI Black"/>
        <family val="2"/>
      </rPr>
      <t>❹</t>
    </r>
    <r>
      <rPr>
        <sz val="9"/>
        <rFont val="Segoe UI Semibold"/>
        <family val="2"/>
      </rPr>
      <t xml:space="preserve"> EV / EBITDA</t>
    </r>
  </si>
  <si>
    <r>
      <rPr>
        <sz val="9.5"/>
        <color rgb="FF008000"/>
        <rFont val="Segoe UI Black"/>
        <family val="2"/>
      </rPr>
      <t>❺</t>
    </r>
    <r>
      <rPr>
        <sz val="9"/>
        <rFont val="Segoe UI Semibold"/>
        <family val="2"/>
      </rPr>
      <t xml:space="preserve"> Price / Earnings</t>
    </r>
  </si>
  <si>
    <t>Fully-diluted shares</t>
  </si>
  <si>
    <r>
      <rPr>
        <sz val="9.5"/>
        <color rgb="FF008000"/>
        <rFont val="Segoe UI Black"/>
        <family val="2"/>
      </rPr>
      <t>❸</t>
    </r>
    <r>
      <rPr>
        <sz val="9"/>
        <rFont val="Segoe UI Semibold"/>
        <family val="2"/>
      </rPr>
      <t xml:space="preserve"> Diluted cap</t>
    </r>
  </si>
  <si>
    <r>
      <rPr>
        <sz val="9.5"/>
        <color rgb="FF008000"/>
        <rFont val="Segoe UI Black"/>
        <family val="2"/>
      </rPr>
      <t>❷</t>
    </r>
    <r>
      <rPr>
        <sz val="9"/>
        <rFont val="Segoe UI Semibold"/>
        <family val="2"/>
      </rPr>
      <t xml:space="preserve"> Market Cap</t>
    </r>
  </si>
  <si>
    <t>Equivalent shares</t>
  </si>
  <si>
    <t xml:space="preserve"> ⎯ OTM Liq Pref</t>
  </si>
  <si>
    <r>
      <rPr>
        <sz val="9.5"/>
        <color rgb="FF008000"/>
        <rFont val="Segoe UI Black"/>
        <family val="2"/>
      </rPr>
      <t>❶</t>
    </r>
    <r>
      <rPr>
        <sz val="9"/>
        <rFont val="Segoe UI Semibold"/>
        <family val="2"/>
      </rPr>
      <t xml:space="preserve"> Common equivalent shares</t>
    </r>
  </si>
  <si>
    <t>Common-equivalent shares</t>
  </si>
  <si>
    <t>Options outstanding</t>
  </si>
  <si>
    <t>Total dilutive effects</t>
  </si>
  <si>
    <t>+ Employee SPP</t>
  </si>
  <si>
    <t>+ Restricted stock</t>
  </si>
  <si>
    <t>⎯ Buybacks</t>
  </si>
  <si>
    <t>+ Exercised options</t>
  </si>
  <si>
    <t>+ Options granted</t>
  </si>
  <si>
    <t>⎯ Options exercised</t>
  </si>
  <si>
    <t>Basic shares</t>
  </si>
  <si>
    <t>Shares outstanding at IPO</t>
  </si>
  <si>
    <t>Valuations</t>
  </si>
  <si>
    <t>Operational Forecast</t>
  </si>
  <si>
    <t>Valuation Factors</t>
  </si>
  <si>
    <t>Risk-free rate</t>
  </si>
  <si>
    <r>
      <t>Avg. S</t>
    </r>
    <r>
      <rPr>
        <sz val="4"/>
        <color theme="1"/>
        <rFont val="Segoe UI"/>
        <family val="2"/>
      </rPr>
      <t xml:space="preserve"> </t>
    </r>
    <r>
      <rPr>
        <sz val="8.5"/>
        <rFont val="Segoe UI"/>
        <family val="2"/>
      </rPr>
      <t>&amp;</t>
    </r>
    <r>
      <rPr>
        <sz val="4"/>
        <rFont val="Segoe UI"/>
        <family val="2"/>
      </rPr>
      <t xml:space="preserve"> </t>
    </r>
    <r>
      <rPr>
        <sz val="9"/>
        <rFont val="Segoe UI"/>
        <family val="2"/>
      </rPr>
      <t>P</t>
    </r>
    <r>
      <rPr>
        <sz val="9"/>
        <color theme="1"/>
        <rFont val="Segoe UI"/>
        <family val="2"/>
      </rPr>
      <t xml:space="preserve"> return</t>
    </r>
  </si>
  <si>
    <t>Company beta</t>
  </si>
  <si>
    <t>Inputs</t>
  </si>
  <si>
    <t>Formula</t>
  </si>
  <si>
    <t>Cost of Capital</t>
  </si>
  <si>
    <t>Tranche</t>
  </si>
  <si>
    <t>Short-term debt</t>
  </si>
  <si>
    <t>Long-term debt</t>
  </si>
  <si>
    <t>Line of credit</t>
  </si>
  <si>
    <r>
      <t>Weighted Average</t>
    </r>
    <r>
      <rPr>
        <sz val="9"/>
        <color theme="1"/>
        <rFont val="Segoe UI"/>
        <family val="2"/>
      </rPr>
      <t xml:space="preserve"> (</t>
    </r>
    <r>
      <rPr>
        <sz val="9"/>
        <color theme="1"/>
        <rFont val="Segoe UI Semibold"/>
        <family val="2"/>
      </rPr>
      <t>WACC</t>
    </r>
    <r>
      <rPr>
        <sz val="9"/>
        <color theme="1"/>
        <rFont val="Segoe UI"/>
        <family val="2"/>
      </rPr>
      <t>)</t>
    </r>
  </si>
  <si>
    <r>
      <t>Cash in/</t>
    </r>
    <r>
      <rPr>
        <sz val="9"/>
        <color rgb="FFFF0000"/>
        <rFont val="Segoe UI Semibold"/>
        <family val="2"/>
      </rPr>
      <t>out</t>
    </r>
  </si>
  <si>
    <t>Wgtd Cost</t>
  </si>
  <si>
    <r>
      <t xml:space="preserve">Risk-free </t>
    </r>
    <r>
      <rPr>
        <sz val="6"/>
        <rFont val="Segoe UI"/>
        <family val="2"/>
      </rPr>
      <t xml:space="preserve"> </t>
    </r>
    <r>
      <rPr>
        <sz val="10"/>
        <rFont val="Segoe UI"/>
        <family val="2"/>
      </rPr>
      <t>+</t>
    </r>
    <r>
      <rPr>
        <sz val="6"/>
        <rFont val="Segoe UI"/>
        <family val="2"/>
      </rPr>
      <t xml:space="preserve">  </t>
    </r>
    <r>
      <rPr>
        <sz val="9"/>
        <rFont val="Segoe UI"/>
        <family val="2"/>
      </rPr>
      <t>S</t>
    </r>
    <r>
      <rPr>
        <sz val="4"/>
        <rFont val="Segoe UI"/>
        <family val="2"/>
      </rPr>
      <t xml:space="preserve"> </t>
    </r>
    <r>
      <rPr>
        <sz val="8.5"/>
        <rFont val="Segoe UI"/>
        <family val="2"/>
      </rPr>
      <t>&amp;</t>
    </r>
    <r>
      <rPr>
        <sz val="4"/>
        <rFont val="Segoe UI"/>
        <family val="2"/>
      </rPr>
      <t xml:space="preserve"> </t>
    </r>
    <r>
      <rPr>
        <sz val="9"/>
        <rFont val="Segoe UI"/>
        <family val="2"/>
      </rPr>
      <t>P premium</t>
    </r>
    <r>
      <rPr>
        <sz val="7"/>
        <rFont val="Segoe UI"/>
        <family val="2"/>
      </rPr>
      <t xml:space="preserve">  </t>
    </r>
    <r>
      <rPr>
        <sz val="9.5"/>
        <rFont val="Segoe UI"/>
        <family val="2"/>
      </rPr>
      <t>x</t>
    </r>
    <r>
      <rPr>
        <sz val="7"/>
        <rFont val="Segoe UI"/>
        <family val="2"/>
      </rPr>
      <t xml:space="preserve">  </t>
    </r>
    <r>
      <rPr>
        <sz val="9"/>
        <rFont val="Segoe UI"/>
        <family val="2"/>
      </rPr>
      <t>beta</t>
    </r>
  </si>
  <si>
    <t>WACC &amp; DCF</t>
  </si>
  <si>
    <t>Common-equiv.</t>
  </si>
  <si>
    <t>Valuation Approaches</t>
  </si>
  <si>
    <t xml:space="preserve"> Methods</t>
  </si>
  <si>
    <t>Illustration</t>
  </si>
  <si>
    <t xml:space="preserve"> from model</t>
  </si>
  <si>
    <r>
      <t xml:space="preserve">Cost of Equity </t>
    </r>
    <r>
      <rPr>
        <sz val="9"/>
        <color theme="1"/>
        <rFont val="Segoe UI Semibold"/>
        <family val="2"/>
      </rPr>
      <t xml:space="preserve"> </t>
    </r>
    <r>
      <rPr>
        <sz val="9"/>
        <color theme="1"/>
        <rFont val="Segoe UI"/>
        <family val="2"/>
      </rPr>
      <t>(</t>
    </r>
    <r>
      <rPr>
        <sz val="9"/>
        <color theme="1"/>
        <rFont val="Segoe UI Semibold"/>
        <family val="2"/>
      </rPr>
      <t>RoE</t>
    </r>
    <r>
      <rPr>
        <sz val="9"/>
        <color theme="1"/>
        <rFont val="Segoe UI"/>
        <family val="2"/>
      </rPr>
      <t>)</t>
    </r>
  </si>
  <si>
    <t>Relative Value</t>
  </si>
  <si>
    <t>Intrinsic Value</t>
  </si>
  <si>
    <t xml:space="preserve"> Startup / early-stage</t>
  </si>
  <si>
    <t xml:space="preserve"> Transaction</t>
  </si>
  <si>
    <t xml:space="preserve"> Investor sentiment</t>
  </si>
  <si>
    <t xml:space="preserve"> Common-equivalent shares</t>
  </si>
  <si>
    <t xml:space="preserve"> Invested amounts, cap table</t>
  </si>
  <si>
    <t xml:space="preserve"> Private</t>
  </si>
  <si>
    <t xml:space="preserve"> Intrinsic value</t>
  </si>
  <si>
    <t xml:space="preserve"> Private listings, indexes</t>
  </si>
  <si>
    <t xml:space="preserve"> Private estimates on</t>
  </si>
  <si>
    <t xml:space="preserve">  the value of illiquid stock</t>
  </si>
  <si>
    <t xml:space="preserve"> Publicly-traded</t>
  </si>
  <si>
    <t xml:space="preserve"> All</t>
  </si>
  <si>
    <t xml:space="preserve"> Mature, stable</t>
  </si>
  <si>
    <t xml:space="preserve"> Guidance</t>
  </si>
  <si>
    <t xml:space="preserve"> Market sentiment</t>
  </si>
  <si>
    <t xml:space="preserve"> Market cap, diluted cap</t>
  </si>
  <si>
    <t xml:space="preserve"> EV/EBITDA, Price/Earnings</t>
  </si>
  <si>
    <t xml:space="preserve"> Discounted CF, Equity bridge</t>
  </si>
  <si>
    <t xml:space="preserve"> Market price, share count</t>
  </si>
  <si>
    <t xml:space="preserve"> Market listings, financials</t>
  </si>
  <si>
    <t xml:space="preserve"> Cash flow forecast, WACC</t>
  </si>
  <si>
    <t xml:space="preserve"> Distressed</t>
  </si>
  <si>
    <t xml:space="preserve"> Post-early / private</t>
  </si>
  <si>
    <t xml:space="preserve"> IP-heavy</t>
  </si>
  <si>
    <t xml:space="preserve"> FMV of assets, auctions</t>
  </si>
  <si>
    <t xml:space="preserve"> Deal terms, financials</t>
  </si>
  <si>
    <t xml:space="preserve"> Option timing, strike price</t>
  </si>
  <si>
    <t xml:space="preserve"> Price-givers that hold the</t>
  </si>
  <si>
    <t xml:space="preserve"> Relative estimates of </t>
  </si>
  <si>
    <t xml:space="preserve"> Equity reduced by value of</t>
  </si>
  <si>
    <t xml:space="preserve">  final word on fair value</t>
  </si>
  <si>
    <t xml:space="preserve">  company valuation</t>
  </si>
  <si>
    <t xml:space="preserve">  options in DCF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</si>
</sst>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#,##0;[Red]\-#,##0"/>
    <numFmt numFmtId="167" formatCode="#,##0;[Red]#,##0"/>
    <numFmt numFmtId="168" formatCode="#,##0.0;[Red]\-#,##0.0"/>
    <numFmt numFmtId="169" formatCode="&quot;Yr &quot;0"/>
    <numFmt numFmtId="170" formatCode="#,##0.0\x;[Red]\-#,##0.0\x"/>
    <numFmt numFmtId="171" formatCode="\-#,##0;[Red]\-#,##0"/>
    <numFmt numFmtId="172" formatCode="#,##0.00;[Red]#,##0.00"/>
    <numFmt numFmtId="173" formatCode="&quot;Year &quot;0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9.5"/>
      <color theme="1"/>
      <name val="Calibri"/>
      <family val="2"/>
      <scheme val="minor"/>
    </font>
    <font>
      <sz val="10"/>
      <name val="Verdana"/>
      <family val="2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4"/>
      <color theme="1"/>
      <name val="Calibri"/>
      <family val="2"/>
      <scheme val="minor"/>
    </font>
    <font>
      <sz val="9"/>
      <name val="Segoe UI Semibold"/>
      <family val="2"/>
    </font>
    <font>
      <sz val="8.5"/>
      <name val="Segoe UI Semibold"/>
      <family val="2"/>
    </font>
    <font>
      <sz val="10"/>
      <color rgb="FF002060"/>
      <name val="Segoe UI Semibold"/>
      <family val="2"/>
    </font>
    <font>
      <sz val="9.5"/>
      <color indexed="81"/>
      <name val="Calibri"/>
      <family val="2"/>
      <scheme val="minor"/>
    </font>
    <font>
      <b/>
      <sz val="9.5"/>
      <name val="Yu Gothic UI Semibold"/>
      <family val="2"/>
    </font>
    <font>
      <i/>
      <sz val="9.5"/>
      <name val="Calibri"/>
      <family val="2"/>
      <scheme val="minor"/>
    </font>
    <font>
      <sz val="9"/>
      <color theme="1"/>
      <name val="Segoe UI"/>
      <family val="2"/>
    </font>
    <font>
      <sz val="8"/>
      <color theme="1"/>
      <name val="Segoe UI"/>
      <family val="2"/>
    </font>
    <font>
      <sz val="8.5"/>
      <color theme="1"/>
      <name val="Segoe UI"/>
      <family val="2"/>
    </font>
    <font>
      <sz val="8.5"/>
      <color theme="1"/>
      <name val="Segoe UI Semibold"/>
      <family val="2"/>
    </font>
    <font>
      <sz val="9"/>
      <color theme="1"/>
      <name val="Segoe UI Semibold"/>
      <family val="2"/>
    </font>
    <font>
      <sz val="8.5"/>
      <name val="Segoe UI"/>
      <family val="2"/>
    </font>
    <font>
      <sz val="10.5"/>
      <name val="Segoe UI Semibold"/>
      <family val="2"/>
    </font>
    <font>
      <sz val="9"/>
      <name val="Segoe UI"/>
      <family val="2"/>
    </font>
    <font>
      <sz val="9"/>
      <color rgb="FFFF0000"/>
      <name val="Segoe UI"/>
      <family val="2"/>
    </font>
    <font>
      <sz val="9.5"/>
      <name val="Segoe UI Semibold"/>
      <family val="2"/>
    </font>
    <font>
      <sz val="4"/>
      <color theme="1"/>
      <name val="Calibri"/>
      <family val="2"/>
      <scheme val="minor"/>
    </font>
    <font>
      <sz val="1"/>
      <color theme="1"/>
      <name val="Calibri"/>
      <family val="2"/>
      <scheme val="minor"/>
    </font>
    <font>
      <sz val="1"/>
      <name val="Calibri"/>
      <family val="2"/>
      <scheme val="minor"/>
    </font>
    <font>
      <sz val="8"/>
      <name val="Segoe UI"/>
      <family val="2"/>
    </font>
    <font>
      <sz val="9"/>
      <color indexed="81"/>
      <name val="Tahoma"/>
      <family val="2"/>
    </font>
    <font>
      <sz val="9"/>
      <color theme="0"/>
      <name val="Segoe UI"/>
      <family val="2"/>
    </font>
    <font>
      <sz val="11"/>
      <color theme="1"/>
      <name val="Segoe UI Semibold"/>
      <family val="2"/>
    </font>
    <font>
      <sz val="11"/>
      <name val="Segoe UI Semibold"/>
      <family val="2"/>
    </font>
    <font>
      <sz val="9"/>
      <name val="Calibri"/>
      <family val="2"/>
      <scheme val="minor"/>
    </font>
    <font>
      <b/>
      <sz val="9"/>
      <color theme="1"/>
      <name val="Segoe UI"/>
      <family val="2"/>
    </font>
    <font>
      <sz val="8"/>
      <name val="Segoe UI Semibold"/>
      <family val="2"/>
    </font>
    <font>
      <i/>
      <sz val="8.5"/>
      <name val="Segoe UI Semibold"/>
      <family val="2"/>
    </font>
    <font>
      <i/>
      <sz val="8.5"/>
      <color theme="1" tint="0.499984740745262"/>
      <name val="Segoe UI"/>
      <family val="2"/>
    </font>
    <font>
      <sz val="10"/>
      <name val="Segoe UI Semibold"/>
      <family val="2"/>
    </font>
    <font>
      <i/>
      <sz val="8"/>
      <color theme="1" tint="0.34998626667073579"/>
      <name val="Segoe UI"/>
      <family val="2"/>
    </font>
    <font>
      <i/>
      <sz val="9"/>
      <color theme="0" tint="-0.499984740745262"/>
      <name val="Segoe UI"/>
      <family val="2"/>
    </font>
    <font>
      <sz val="10"/>
      <name val="Segoe UI"/>
      <family val="2"/>
    </font>
    <font>
      <sz val="9.5"/>
      <color rgb="FF008000"/>
      <name val="Segoe UI Black"/>
      <family val="2"/>
    </font>
    <font>
      <sz val="8"/>
      <color rgb="FF006600"/>
      <name val="Segoe UI"/>
      <family val="2"/>
    </font>
    <font>
      <sz val="9"/>
      <color theme="4"/>
      <name val="Segoe UI Black"/>
      <family val="2"/>
    </font>
    <font>
      <sz val="9"/>
      <color rgb="FF006600"/>
      <name val="Segoe UI"/>
      <family val="2"/>
    </font>
    <font>
      <sz val="9"/>
      <color rgb="FF000099"/>
      <name val="Segoe UI"/>
      <family val="2"/>
    </font>
    <font>
      <sz val="9"/>
      <color rgb="FF008000"/>
      <name val="Segoe UI Black"/>
      <family val="2"/>
    </font>
    <font>
      <sz val="8"/>
      <color theme="0"/>
      <name val="Segoe UI"/>
      <family val="2"/>
    </font>
    <font>
      <sz val="6"/>
      <name val="Segoe UI"/>
      <family val="2"/>
    </font>
    <font>
      <sz val="9"/>
      <color rgb="FF006600"/>
      <name val="Segoe UI Black"/>
      <family val="2"/>
    </font>
    <font>
      <sz val="9"/>
      <color rgb="FF275EE9"/>
      <name val="Segoe UI Black"/>
      <family val="2"/>
    </font>
    <font>
      <sz val="9.5"/>
      <color rgb="FF275EE9"/>
      <name val="Segoe UI Black"/>
      <family val="2"/>
    </font>
    <font>
      <sz val="9"/>
      <color rgb="FF0066CC"/>
      <name val="Segoe UI"/>
      <family val="2"/>
    </font>
    <font>
      <sz val="9"/>
      <color rgb="FF008000"/>
      <name val="Segoe UI"/>
      <family val="2"/>
    </font>
    <font>
      <sz val="9.5"/>
      <name val="Segoe UI"/>
      <family val="2"/>
    </font>
    <font>
      <sz val="7"/>
      <name val="Segoe UI"/>
      <family val="2"/>
    </font>
    <font>
      <sz val="4"/>
      <name val="Segoe UI"/>
      <family val="2"/>
    </font>
    <font>
      <sz val="4"/>
      <color theme="1"/>
      <name val="Segoe UI"/>
      <family val="2"/>
    </font>
    <font>
      <i/>
      <sz val="9"/>
      <color rgb="FF9A0000"/>
      <name val="Calibri"/>
      <family val="2"/>
      <scheme val="minor"/>
    </font>
    <font>
      <sz val="9"/>
      <color rgb="FF9A0000"/>
      <name val="Calibri"/>
      <family val="2"/>
      <scheme val="minor"/>
    </font>
    <font>
      <sz val="9"/>
      <color rgb="FF007400"/>
      <name val="Calibri"/>
      <family val="2"/>
    </font>
    <font>
      <sz val="14"/>
      <color theme="1"/>
      <name val="Segoe UI Semibold"/>
      <family val="2"/>
    </font>
    <font>
      <sz val="6"/>
      <color rgb="FF0066CC"/>
      <name val="Segoe UI"/>
      <family val="2"/>
    </font>
    <font>
      <sz val="6"/>
      <color rgb="FF008000"/>
      <name val="Segoe UI"/>
      <family val="2"/>
    </font>
    <font>
      <sz val="4"/>
      <color rgb="FF0066CC"/>
      <name val="Segoe UI"/>
      <family val="2"/>
    </font>
    <font>
      <sz val="4"/>
      <color rgb="FF008000"/>
      <name val="Segoe UI"/>
      <family val="2"/>
    </font>
    <font>
      <sz val="9"/>
      <color rgb="FF007400"/>
      <name val="Segoe UI Semibold"/>
      <family val="2"/>
    </font>
    <font>
      <sz val="9"/>
      <color rgb="FFFF0000"/>
      <name val="Segoe UI Semibold"/>
      <family val="2"/>
    </font>
    <font>
      <i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indexed="64"/>
      </left>
      <right style="hair">
        <color auto="1"/>
      </right>
      <top style="hair">
        <color theme="0" tint="-0.14996795556505021"/>
      </top>
      <bottom style="hair">
        <color auto="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hair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hair">
        <color theme="0" tint="-0.14996795556505021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679555650502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0" tint="-0.14996795556505021"/>
      </bottom>
      <diagonal/>
    </border>
    <border>
      <left style="hair">
        <color indexed="64"/>
      </left>
      <right style="hair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theme="0" tint="-0.1499679555650502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theme="0" tint="-0.14996795556505021"/>
      </bottom>
      <diagonal/>
    </border>
    <border>
      <left style="hair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indexed="64"/>
      </left>
      <right/>
      <top style="thin">
        <color theme="0" tint="-0.1499679555650502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theme="0" tint="-0.14996795556505021"/>
      </bottom>
      <diagonal/>
    </border>
    <border>
      <left/>
      <right/>
      <top style="hair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indexed="64"/>
      </bottom>
      <diagonal/>
    </border>
    <border>
      <left/>
      <right style="hair">
        <color theme="0" tint="-0.34998626667073579"/>
      </right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14996795556505021"/>
      </right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14996795556505021"/>
      </right>
      <top/>
      <bottom/>
      <diagonal/>
    </border>
    <border>
      <left/>
      <right style="hair">
        <color theme="0" tint="-0.14996795556505021"/>
      </right>
      <top/>
      <bottom/>
      <diagonal/>
    </border>
    <border>
      <left/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/>
      <top/>
      <bottom/>
      <diagonal/>
    </border>
    <border>
      <left style="hair">
        <color theme="0" tint="-0.14996795556505021"/>
      </left>
      <right style="hair">
        <color indexed="64"/>
      </right>
      <top/>
      <bottom style="hair">
        <color theme="0" tint="-0.14996795556505021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hair">
        <color theme="0" tint="-0.24994659260841701"/>
      </left>
      <right style="hair">
        <color theme="0" tint="-0.14996795556505021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34998626667073579"/>
      </right>
      <top style="hair">
        <color indexed="64"/>
      </top>
      <bottom style="hair">
        <color auto="1"/>
      </bottom>
      <diagonal/>
    </border>
    <border>
      <left/>
      <right/>
      <top style="hair">
        <color theme="0" tint="-0.149937437055574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/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/>
      <diagonal/>
    </border>
    <border>
      <left/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3743705557422"/>
      </bottom>
      <diagonal/>
    </border>
    <border>
      <left/>
      <right style="thin">
        <color indexed="64"/>
      </right>
      <top style="hair">
        <color theme="0" tint="-0.14996795556505021"/>
      </top>
      <bottom style="hair">
        <color theme="0" tint="-0.149937437055574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 style="hair">
        <color theme="0" tint="-0.14996795556505021"/>
      </top>
      <bottom style="thin">
        <color theme="0" tint="-0.14996795556505021"/>
      </bottom>
      <diagonal/>
    </border>
    <border>
      <left/>
      <right/>
      <top style="hair">
        <color theme="0" tint="-0.14993743705557422"/>
      </top>
      <bottom style="thin">
        <color indexed="64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</cellStyleXfs>
  <cellXfs count="499">
    <xf numFmtId="0" fontId="0" fillId="0" borderId="0" xfId="0"/>
    <xf numFmtId="167" fontId="6" fillId="3" borderId="0" xfId="0" applyNumberFormat="1" applyFont="1" applyFill="1" applyProtection="1">
      <protection hidden="1"/>
    </xf>
    <xf numFmtId="0" fontId="4" fillId="3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0" fontId="4" fillId="3" borderId="0" xfId="8" applyFont="1" applyFill="1" applyProtection="1">
      <protection hidden="1"/>
    </xf>
    <xf numFmtId="167" fontId="4" fillId="3" borderId="0" xfId="8" applyNumberFormat="1" applyFont="1" applyFill="1" applyAlignment="1" applyProtection="1">
      <alignment horizontal="left"/>
      <protection hidden="1"/>
    </xf>
    <xf numFmtId="167" fontId="4" fillId="3" borderId="0" xfId="0" applyNumberFormat="1" applyFont="1" applyFill="1" applyProtection="1">
      <protection hidden="1"/>
    </xf>
    <xf numFmtId="166" fontId="10" fillId="3" borderId="0" xfId="3" applyNumberFormat="1" applyFont="1" applyFill="1" applyProtection="1">
      <protection hidden="1"/>
    </xf>
    <xf numFmtId="0" fontId="3" fillId="3" borderId="0" xfId="0" applyFont="1" applyFill="1" applyAlignment="1" applyProtection="1">
      <alignment horizontal="center"/>
      <protection hidden="1"/>
    </xf>
    <xf numFmtId="167" fontId="3" fillId="3" borderId="0" xfId="0" applyNumberFormat="1" applyFont="1" applyFill="1" applyProtection="1">
      <protection hidden="1"/>
    </xf>
    <xf numFmtId="166" fontId="6" fillId="3" borderId="0" xfId="4" applyNumberFormat="1" applyFont="1" applyFill="1" applyProtection="1">
      <protection hidden="1"/>
    </xf>
    <xf numFmtId="166" fontId="6" fillId="3" borderId="0" xfId="3" applyNumberFormat="1" applyFont="1" applyFill="1" applyProtection="1">
      <protection hidden="1"/>
    </xf>
    <xf numFmtId="0" fontId="3" fillId="3" borderId="0" xfId="0" applyFont="1" applyFill="1" applyAlignment="1" applyProtection="1">
      <alignment vertical="top"/>
      <protection hidden="1"/>
    </xf>
    <xf numFmtId="0" fontId="3" fillId="3" borderId="0" xfId="0" applyFont="1" applyFill="1" applyAlignment="1" applyProtection="1">
      <alignment horizontal="left"/>
      <protection hidden="1"/>
    </xf>
    <xf numFmtId="166" fontId="6" fillId="3" borderId="0" xfId="3" applyNumberFormat="1" applyFont="1" applyFill="1" applyAlignment="1" applyProtection="1">
      <alignment horizontal="left"/>
      <protection hidden="1"/>
    </xf>
    <xf numFmtId="166" fontId="6" fillId="3" borderId="0" xfId="3" applyNumberFormat="1" applyFont="1" applyFill="1" applyAlignment="1" applyProtection="1">
      <alignment horizontal="right"/>
      <protection hidden="1"/>
    </xf>
    <xf numFmtId="0" fontId="14" fillId="3" borderId="0" xfId="0" applyFont="1" applyFill="1" applyProtection="1">
      <protection hidden="1"/>
    </xf>
    <xf numFmtId="0" fontId="4" fillId="3" borderId="0" xfId="0" applyFont="1" applyFill="1" applyAlignment="1" applyProtection="1">
      <alignment vertical="top"/>
      <protection hidden="1"/>
    </xf>
    <xf numFmtId="0" fontId="17" fillId="3" borderId="0" xfId="0" applyFont="1" applyFill="1" applyProtection="1">
      <protection hidden="1"/>
    </xf>
    <xf numFmtId="0" fontId="10" fillId="3" borderId="0" xfId="8" applyFont="1" applyFill="1" applyProtection="1">
      <protection hidden="1"/>
    </xf>
    <xf numFmtId="166" fontId="10" fillId="3" borderId="0" xfId="4" applyNumberFormat="1" applyFont="1" applyFill="1" applyProtection="1">
      <protection hidden="1"/>
    </xf>
    <xf numFmtId="0" fontId="4" fillId="3" borderId="0" xfId="8" applyFont="1" applyFill="1" applyAlignment="1" applyProtection="1">
      <alignment horizontal="center"/>
      <protection hidden="1"/>
    </xf>
    <xf numFmtId="166" fontId="10" fillId="3" borderId="0" xfId="4" applyNumberFormat="1" applyFont="1" applyFill="1" applyAlignment="1" applyProtection="1">
      <alignment vertical="center"/>
      <protection hidden="1"/>
    </xf>
    <xf numFmtId="166" fontId="11" fillId="3" borderId="0" xfId="4" applyNumberFormat="1" applyFont="1" applyFill="1" applyAlignment="1" applyProtection="1">
      <alignment vertical="center"/>
      <protection hidden="1"/>
    </xf>
    <xf numFmtId="0" fontId="4" fillId="3" borderId="0" xfId="8" applyFont="1" applyFill="1" applyAlignment="1" applyProtection="1">
      <alignment vertical="center"/>
      <protection hidden="1"/>
    </xf>
    <xf numFmtId="167" fontId="10" fillId="3" borderId="0" xfId="10" applyNumberFormat="1" applyFont="1" applyFill="1" applyAlignment="1" applyProtection="1">
      <alignment horizontal="center"/>
      <protection hidden="1"/>
    </xf>
    <xf numFmtId="167" fontId="6" fillId="3" borderId="0" xfId="0" applyNumberFormat="1" applyFont="1" applyFill="1" applyAlignment="1" applyProtection="1">
      <alignment vertical="center"/>
      <protection hidden="1"/>
    </xf>
    <xf numFmtId="166" fontId="28" fillId="3" borderId="0" xfId="4" applyNumberFormat="1" applyFont="1" applyFill="1" applyAlignment="1" applyProtection="1">
      <alignment vertical="center"/>
      <protection hidden="1"/>
    </xf>
    <xf numFmtId="0" fontId="28" fillId="3" borderId="0" xfId="8" applyFont="1" applyFill="1" applyProtection="1">
      <protection hidden="1"/>
    </xf>
    <xf numFmtId="166" fontId="6" fillId="3" borderId="0" xfId="4" applyNumberFormat="1" applyFont="1" applyFill="1" applyAlignment="1" applyProtection="1">
      <alignment vertical="center"/>
      <protection hidden="1"/>
    </xf>
    <xf numFmtId="167" fontId="28" fillId="3" borderId="0" xfId="0" applyNumberFormat="1" applyFont="1" applyFill="1" applyAlignment="1" applyProtection="1">
      <alignment vertical="center"/>
      <protection hidden="1"/>
    </xf>
    <xf numFmtId="0" fontId="28" fillId="3" borderId="0" xfId="8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10" fillId="3" borderId="0" xfId="0" applyFont="1" applyFill="1" applyProtection="1">
      <protection hidden="1"/>
    </xf>
    <xf numFmtId="0" fontId="3" fillId="3" borderId="0" xfId="8" applyFont="1" applyFill="1" applyAlignment="1" applyProtection="1">
      <alignment vertical="center"/>
      <protection hidden="1"/>
    </xf>
    <xf numFmtId="0" fontId="6" fillId="3" borderId="0" xfId="8" applyFont="1" applyFill="1" applyAlignment="1" applyProtection="1">
      <alignment vertical="center"/>
      <protection hidden="1"/>
    </xf>
    <xf numFmtId="167" fontId="4" fillId="3" borderId="0" xfId="0" applyNumberFormat="1" applyFont="1" applyFill="1" applyAlignment="1" applyProtection="1">
      <alignment vertical="center"/>
      <protection hidden="1"/>
    </xf>
    <xf numFmtId="167" fontId="3" fillId="3" borderId="0" xfId="0" applyNumberFormat="1" applyFont="1" applyFill="1" applyAlignment="1" applyProtection="1">
      <alignment vertical="center"/>
      <protection hidden="1"/>
    </xf>
    <xf numFmtId="166" fontId="28" fillId="3" borderId="0" xfId="0" applyNumberFormat="1" applyFont="1" applyFill="1" applyProtection="1">
      <protection hidden="1"/>
    </xf>
    <xf numFmtId="167" fontId="31" fillId="3" borderId="0" xfId="0" applyNumberFormat="1" applyFont="1" applyFill="1" applyAlignment="1" applyProtection="1">
      <alignment horizontal="left"/>
      <protection hidden="1"/>
    </xf>
    <xf numFmtId="9" fontId="31" fillId="3" borderId="0" xfId="1" applyFont="1" applyFill="1" applyAlignment="1" applyProtection="1">
      <alignment horizontal="left"/>
      <protection hidden="1"/>
    </xf>
    <xf numFmtId="172" fontId="31" fillId="3" borderId="0" xfId="0" applyNumberFormat="1" applyFont="1" applyFill="1" applyAlignment="1" applyProtection="1">
      <alignment horizontal="left"/>
      <protection hidden="1"/>
    </xf>
    <xf numFmtId="167" fontId="32" fillId="5" borderId="17" xfId="0" applyNumberFormat="1" applyFont="1" applyFill="1" applyBorder="1" applyAlignment="1" applyProtection="1">
      <alignment horizontal="left"/>
      <protection hidden="1"/>
    </xf>
    <xf numFmtId="166" fontId="33" fillId="5" borderId="17" xfId="0" applyNumberFormat="1" applyFont="1" applyFill="1" applyBorder="1" applyAlignment="1" applyProtection="1">
      <alignment horizontal="center"/>
      <protection hidden="1"/>
    </xf>
    <xf numFmtId="167" fontId="32" fillId="5" borderId="7" xfId="0" applyNumberFormat="1" applyFont="1" applyFill="1" applyBorder="1" applyAlignment="1" applyProtection="1">
      <alignment horizontal="left"/>
      <protection hidden="1"/>
    </xf>
    <xf numFmtId="166" fontId="33" fillId="5" borderId="7" xfId="0" applyNumberFormat="1" applyFont="1" applyFill="1" applyBorder="1" applyAlignment="1" applyProtection="1">
      <alignment horizontal="center"/>
      <protection hidden="1"/>
    </xf>
    <xf numFmtId="167" fontId="32" fillId="5" borderId="16" xfId="0" applyNumberFormat="1" applyFont="1" applyFill="1" applyBorder="1" applyAlignment="1" applyProtection="1">
      <alignment horizontal="left"/>
      <protection hidden="1"/>
    </xf>
    <xf numFmtId="166" fontId="33" fillId="5" borderId="16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3" fillId="3" borderId="0" xfId="0" applyFont="1" applyFill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165" fontId="28" fillId="3" borderId="0" xfId="0" applyNumberFormat="1" applyFont="1" applyFill="1" applyAlignment="1" applyProtection="1">
      <alignment horizontal="center"/>
      <protection hidden="1"/>
    </xf>
    <xf numFmtId="166" fontId="28" fillId="3" borderId="0" xfId="4" applyNumberFormat="1" applyFont="1" applyFill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167" fontId="28" fillId="3" borderId="0" xfId="10" applyNumberFormat="1" applyFont="1" applyFill="1" applyAlignment="1" applyProtection="1">
      <alignment horizontal="center"/>
      <protection hidden="1"/>
    </xf>
    <xf numFmtId="165" fontId="28" fillId="3" borderId="0" xfId="1" applyNumberFormat="1" applyFont="1" applyFill="1" applyBorder="1" applyAlignment="1" applyProtection="1">
      <alignment horizontal="right"/>
      <protection hidden="1"/>
    </xf>
    <xf numFmtId="166" fontId="28" fillId="3" borderId="0" xfId="10" applyNumberFormat="1" applyFont="1" applyFill="1" applyProtection="1">
      <protection hidden="1"/>
    </xf>
    <xf numFmtId="166" fontId="10" fillId="3" borderId="0" xfId="4" applyNumberFormat="1" applyFont="1" applyFill="1" applyAlignment="1" applyProtection="1">
      <alignment horizontal="center"/>
      <protection hidden="1"/>
    </xf>
    <xf numFmtId="166" fontId="28" fillId="3" borderId="0" xfId="4" applyNumberFormat="1" applyFont="1" applyFill="1" applyAlignment="1" applyProtection="1">
      <alignment horizontal="center"/>
      <protection hidden="1"/>
    </xf>
    <xf numFmtId="166" fontId="10" fillId="3" borderId="0" xfId="4" applyNumberFormat="1" applyFont="1" applyFill="1" applyAlignment="1" applyProtection="1">
      <alignment horizontal="right"/>
      <protection hidden="1"/>
    </xf>
    <xf numFmtId="0" fontId="21" fillId="3" borderId="0" xfId="8" applyFont="1" applyFill="1" applyAlignment="1" applyProtection="1">
      <alignment horizontal="left"/>
      <protection hidden="1"/>
    </xf>
    <xf numFmtId="0" fontId="21" fillId="3" borderId="0" xfId="8" applyFont="1" applyFill="1" applyAlignment="1" applyProtection="1">
      <alignment horizontal="center"/>
      <protection hidden="1"/>
    </xf>
    <xf numFmtId="167" fontId="28" fillId="3" borderId="0" xfId="10" applyNumberFormat="1" applyFont="1" applyFill="1" applyProtection="1">
      <protection hidden="1"/>
    </xf>
    <xf numFmtId="0" fontId="4" fillId="3" borderId="0" xfId="8" applyFont="1" applyFill="1" applyAlignment="1" applyProtection="1">
      <alignment horizontal="right"/>
      <protection hidden="1"/>
    </xf>
    <xf numFmtId="166" fontId="21" fillId="3" borderId="9" xfId="8" applyNumberFormat="1" applyFont="1" applyFill="1" applyBorder="1" applyAlignment="1" applyProtection="1">
      <alignment horizontal="right"/>
      <protection hidden="1"/>
    </xf>
    <xf numFmtId="166" fontId="28" fillId="3" borderId="7" xfId="8" applyNumberFormat="1" applyFont="1" applyFill="1" applyBorder="1" applyAlignment="1" applyProtection="1">
      <alignment horizontal="right"/>
      <protection hidden="1"/>
    </xf>
    <xf numFmtId="166" fontId="28" fillId="3" borderId="7" xfId="0" applyNumberFormat="1" applyFont="1" applyFill="1" applyBorder="1" applyAlignment="1" applyProtection="1">
      <alignment horizontal="right"/>
      <protection hidden="1"/>
    </xf>
    <xf numFmtId="166" fontId="21" fillId="3" borderId="7" xfId="0" applyNumberFormat="1" applyFont="1" applyFill="1" applyBorder="1" applyAlignment="1" applyProtection="1">
      <alignment horizontal="right"/>
      <protection hidden="1"/>
    </xf>
    <xf numFmtId="166" fontId="21" fillId="3" borderId="14" xfId="0" applyNumberFormat="1" applyFont="1" applyFill="1" applyBorder="1" applyAlignment="1" applyProtection="1">
      <alignment horizontal="right"/>
      <protection hidden="1"/>
    </xf>
    <xf numFmtId="0" fontId="12" fillId="3" borderId="0" xfId="8" applyFont="1" applyFill="1" applyAlignment="1" applyProtection="1">
      <alignment vertical="center"/>
      <protection hidden="1"/>
    </xf>
    <xf numFmtId="0" fontId="24" fillId="3" borderId="0" xfId="8" applyFont="1" applyFill="1" applyAlignment="1" applyProtection="1">
      <alignment vertical="center"/>
      <protection hidden="1"/>
    </xf>
    <xf numFmtId="0" fontId="4" fillId="3" borderId="0" xfId="8" applyFont="1" applyFill="1" applyAlignment="1" applyProtection="1">
      <alignment horizontal="left" vertical="center"/>
      <protection hidden="1"/>
    </xf>
    <xf numFmtId="0" fontId="12" fillId="3" borderId="0" xfId="8" applyFont="1" applyFill="1" applyAlignment="1" applyProtection="1">
      <alignment horizontal="left" vertical="center"/>
      <protection hidden="1"/>
    </xf>
    <xf numFmtId="0" fontId="21" fillId="3" borderId="0" xfId="8" applyFont="1" applyFill="1" applyAlignment="1" applyProtection="1">
      <alignment horizontal="center" vertical="center"/>
      <protection hidden="1"/>
    </xf>
    <xf numFmtId="0" fontId="38" fillId="3" borderId="0" xfId="8" applyFont="1" applyFill="1" applyAlignment="1" applyProtection="1">
      <alignment horizontal="left" vertical="center"/>
      <protection hidden="1"/>
    </xf>
    <xf numFmtId="166" fontId="34" fillId="3" borderId="0" xfId="4" applyNumberFormat="1" applyFont="1" applyFill="1" applyAlignment="1" applyProtection="1">
      <alignment horizontal="center"/>
      <protection hidden="1"/>
    </xf>
    <xf numFmtId="0" fontId="4" fillId="0" borderId="0" xfId="8" applyFont="1" applyAlignment="1" applyProtection="1">
      <alignment vertical="center"/>
      <protection hidden="1"/>
    </xf>
    <xf numFmtId="173" fontId="16" fillId="3" borderId="0" xfId="10" applyNumberFormat="1" applyFont="1" applyFill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10" fillId="3" borderId="0" xfId="8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/>
      <protection hidden="1"/>
    </xf>
    <xf numFmtId="166" fontId="21" fillId="3" borderId="2" xfId="0" applyNumberFormat="1" applyFont="1" applyFill="1" applyBorder="1" applyAlignment="1" applyProtection="1">
      <alignment horizontal="right"/>
      <protection hidden="1"/>
    </xf>
    <xf numFmtId="166" fontId="28" fillId="3" borderId="16" xfId="8" applyNumberFormat="1" applyFont="1" applyFill="1" applyBorder="1" applyAlignment="1" applyProtection="1">
      <alignment horizontal="right"/>
      <protection hidden="1"/>
    </xf>
    <xf numFmtId="166" fontId="28" fillId="3" borderId="16" xfId="0" applyNumberFormat="1" applyFont="1" applyFill="1" applyBorder="1" applyAlignment="1" applyProtection="1">
      <alignment horizontal="right"/>
      <protection hidden="1"/>
    </xf>
    <xf numFmtId="166" fontId="28" fillId="3" borderId="22" xfId="8" applyNumberFormat="1" applyFont="1" applyFill="1" applyBorder="1" applyAlignment="1" applyProtection="1">
      <alignment horizontal="right"/>
      <protection hidden="1"/>
    </xf>
    <xf numFmtId="166" fontId="21" fillId="3" borderId="22" xfId="0" applyNumberFormat="1" applyFont="1" applyFill="1" applyBorder="1" applyAlignment="1" applyProtection="1">
      <alignment horizontal="right"/>
      <protection hidden="1"/>
    </xf>
    <xf numFmtId="166" fontId="28" fillId="3" borderId="22" xfId="0" applyNumberFormat="1" applyFont="1" applyFill="1" applyBorder="1" applyAlignment="1" applyProtection="1">
      <alignment horizontal="right"/>
      <protection hidden="1"/>
    </xf>
    <xf numFmtId="166" fontId="28" fillId="6" borderId="9" xfId="4" applyNumberFormat="1" applyFont="1" applyFill="1" applyBorder="1" applyAlignment="1" applyProtection="1">
      <alignment horizontal="right"/>
      <protection hidden="1"/>
    </xf>
    <xf numFmtId="166" fontId="28" fillId="6" borderId="8" xfId="4" applyNumberFormat="1" applyFont="1" applyFill="1" applyBorder="1" applyAlignment="1" applyProtection="1">
      <alignment horizontal="right"/>
      <protection hidden="1"/>
    </xf>
    <xf numFmtId="166" fontId="28" fillId="6" borderId="16" xfId="4" applyNumberFormat="1" applyFont="1" applyFill="1" applyBorder="1" applyAlignment="1" applyProtection="1">
      <alignment horizontal="right"/>
      <protection hidden="1"/>
    </xf>
    <xf numFmtId="9" fontId="28" fillId="6" borderId="9" xfId="1" applyFont="1" applyFill="1" applyBorder="1" applyAlignment="1" applyProtection="1">
      <alignment horizontal="right"/>
      <protection hidden="1"/>
    </xf>
    <xf numFmtId="9" fontId="28" fillId="6" borderId="16" xfId="1" applyFont="1" applyFill="1" applyBorder="1" applyAlignment="1" applyProtection="1">
      <alignment horizontal="right"/>
      <protection hidden="1"/>
    </xf>
    <xf numFmtId="166" fontId="28" fillId="6" borderId="0" xfId="4" applyNumberFormat="1" applyFont="1" applyFill="1" applyAlignment="1" applyProtection="1">
      <alignment horizontal="left" indent="2"/>
      <protection hidden="1"/>
    </xf>
    <xf numFmtId="166" fontId="28" fillId="6" borderId="0" xfId="4" applyNumberFormat="1" applyFont="1" applyFill="1" applyAlignment="1" applyProtection="1">
      <alignment horizontal="right"/>
      <protection hidden="1"/>
    </xf>
    <xf numFmtId="166" fontId="28" fillId="6" borderId="2" xfId="4" applyNumberFormat="1" applyFont="1" applyFill="1" applyBorder="1" applyAlignment="1" applyProtection="1">
      <alignment horizontal="left" indent="2"/>
      <protection hidden="1"/>
    </xf>
    <xf numFmtId="166" fontId="28" fillId="6" borderId="2" xfId="4" applyNumberFormat="1" applyFont="1" applyFill="1" applyBorder="1" applyAlignment="1" applyProtection="1">
      <alignment horizontal="right"/>
      <protection hidden="1"/>
    </xf>
    <xf numFmtId="166" fontId="28" fillId="6" borderId="0" xfId="4" applyNumberFormat="1" applyFont="1" applyFill="1" applyAlignment="1" applyProtection="1">
      <alignment horizontal="center"/>
      <protection hidden="1"/>
    </xf>
    <xf numFmtId="166" fontId="28" fillId="6" borderId="2" xfId="4" applyNumberFormat="1" applyFont="1" applyFill="1" applyBorder="1" applyAlignment="1" applyProtection="1">
      <alignment horizont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0" fontId="10" fillId="3" borderId="0" xfId="0" applyFont="1" applyFill="1" applyAlignment="1" applyProtection="1">
      <alignment vertical="center"/>
      <protection hidden="1"/>
    </xf>
    <xf numFmtId="0" fontId="41" fillId="3" borderId="0" xfId="8" applyFont="1" applyFill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21" fillId="3" borderId="9" xfId="8" applyFont="1" applyFill="1" applyBorder="1" applyProtection="1">
      <protection hidden="1"/>
    </xf>
    <xf numFmtId="0" fontId="28" fillId="3" borderId="0" xfId="0" applyFont="1" applyFill="1" applyProtection="1">
      <protection hidden="1"/>
    </xf>
    <xf numFmtId="0" fontId="21" fillId="3" borderId="7" xfId="8" applyFont="1" applyFill="1" applyBorder="1" applyProtection="1">
      <protection hidden="1"/>
    </xf>
    <xf numFmtId="0" fontId="21" fillId="3" borderId="0" xfId="8" applyFont="1" applyFill="1" applyProtection="1">
      <protection hidden="1"/>
    </xf>
    <xf numFmtId="0" fontId="21" fillId="3" borderId="8" xfId="8" applyFont="1" applyFill="1" applyBorder="1" applyProtection="1">
      <protection hidden="1"/>
    </xf>
    <xf numFmtId="0" fontId="21" fillId="3" borderId="14" xfId="8" applyFont="1" applyFill="1" applyBorder="1" applyProtection="1">
      <protection hidden="1"/>
    </xf>
    <xf numFmtId="0" fontId="24" fillId="3" borderId="0" xfId="8" applyFont="1" applyFill="1" applyProtection="1">
      <protection hidden="1"/>
    </xf>
    <xf numFmtId="169" fontId="28" fillId="3" borderId="0" xfId="10" applyNumberFormat="1" applyFont="1" applyFill="1" applyProtection="1">
      <protection hidden="1"/>
    </xf>
    <xf numFmtId="166" fontId="21" fillId="3" borderId="0" xfId="4" applyNumberFormat="1" applyFont="1" applyFill="1" applyProtection="1">
      <protection hidden="1"/>
    </xf>
    <xf numFmtId="166" fontId="29" fillId="3" borderId="0" xfId="4" applyNumberFormat="1" applyFont="1" applyFill="1" applyProtection="1">
      <protection hidden="1"/>
    </xf>
    <xf numFmtId="166" fontId="28" fillId="3" borderId="0" xfId="8" applyNumberFormat="1" applyFont="1" applyFill="1" applyProtection="1">
      <protection hidden="1"/>
    </xf>
    <xf numFmtId="166" fontId="28" fillId="3" borderId="2" xfId="8" applyNumberFormat="1" applyFont="1" applyFill="1" applyBorder="1" applyProtection="1">
      <protection hidden="1"/>
    </xf>
    <xf numFmtId="166" fontId="28" fillId="3" borderId="2" xfId="10" applyNumberFormat="1" applyFont="1" applyFill="1" applyBorder="1" applyProtection="1">
      <protection hidden="1"/>
    </xf>
    <xf numFmtId="166" fontId="28" fillId="3" borderId="7" xfId="10" applyNumberFormat="1" applyFont="1" applyFill="1" applyBorder="1" applyProtection="1">
      <protection hidden="1"/>
    </xf>
    <xf numFmtId="166" fontId="28" fillId="3" borderId="7" xfId="8" applyNumberFormat="1" applyFont="1" applyFill="1" applyBorder="1" applyProtection="1">
      <protection hidden="1"/>
    </xf>
    <xf numFmtId="166" fontId="28" fillId="3" borderId="8" xfId="8" applyNumberFormat="1" applyFont="1" applyFill="1" applyBorder="1" applyProtection="1">
      <protection hidden="1"/>
    </xf>
    <xf numFmtId="164" fontId="28" fillId="3" borderId="0" xfId="1" applyNumberFormat="1" applyFont="1" applyFill="1" applyBorder="1" applyAlignment="1" applyProtection="1">
      <alignment horizontal="right"/>
      <protection hidden="1"/>
    </xf>
    <xf numFmtId="166" fontId="28" fillId="3" borderId="11" xfId="8" applyNumberFormat="1" applyFont="1" applyFill="1" applyBorder="1" applyAlignment="1" applyProtection="1">
      <alignment vertical="center"/>
      <protection hidden="1"/>
    </xf>
    <xf numFmtId="166" fontId="28" fillId="3" borderId="11" xfId="10" applyNumberFormat="1" applyFont="1" applyFill="1" applyBorder="1" applyAlignment="1" applyProtection="1">
      <alignment vertical="center"/>
      <protection hidden="1"/>
    </xf>
    <xf numFmtId="0" fontId="16" fillId="3" borderId="0" xfId="8" applyFont="1" applyFill="1" applyAlignment="1" applyProtection="1">
      <alignment horizontal="center" vertical="center"/>
      <protection hidden="1"/>
    </xf>
    <xf numFmtId="0" fontId="28" fillId="3" borderId="0" xfId="8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41" fillId="3" borderId="3" xfId="8" applyFont="1" applyFill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1" fillId="0" borderId="0" xfId="0" applyFont="1" applyProtection="1">
      <protection hidden="1"/>
    </xf>
    <xf numFmtId="0" fontId="21" fillId="3" borderId="0" xfId="0" applyFont="1" applyFill="1" applyAlignment="1" applyProtection="1">
      <alignment horizontal="center"/>
      <protection hidden="1"/>
    </xf>
    <xf numFmtId="166" fontId="21" fillId="3" borderId="0" xfId="0" applyNumberFormat="1" applyFont="1" applyFill="1" applyProtection="1">
      <protection hidden="1"/>
    </xf>
    <xf numFmtId="166" fontId="28" fillId="3" borderId="10" xfId="1" applyNumberFormat="1" applyFont="1" applyFill="1" applyBorder="1" applyAlignment="1" applyProtection="1">
      <alignment horizontal="center"/>
      <protection hidden="1"/>
    </xf>
    <xf numFmtId="166" fontId="46" fillId="3" borderId="15" xfId="1" applyNumberFormat="1" applyFont="1" applyFill="1" applyBorder="1" applyAlignment="1" applyProtection="1">
      <alignment horizontal="center"/>
      <protection hidden="1"/>
    </xf>
    <xf numFmtId="166" fontId="21" fillId="3" borderId="0" xfId="1" applyNumberFormat="1" applyFont="1" applyFill="1" applyBorder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9" fontId="28" fillId="3" borderId="9" xfId="1" applyFont="1" applyFill="1" applyBorder="1" applyAlignment="1" applyProtection="1">
      <alignment horizontal="right" indent="1"/>
      <protection hidden="1"/>
    </xf>
    <xf numFmtId="9" fontId="28" fillId="3" borderId="7" xfId="1" applyFont="1" applyFill="1" applyBorder="1" applyAlignment="1" applyProtection="1">
      <alignment horizontal="right" indent="1"/>
      <protection hidden="1"/>
    </xf>
    <xf numFmtId="9" fontId="28" fillId="3" borderId="14" xfId="1" applyFont="1" applyFill="1" applyBorder="1" applyAlignment="1" applyProtection="1">
      <alignment horizontal="right" indent="1"/>
      <protection hidden="1"/>
    </xf>
    <xf numFmtId="9" fontId="21" fillId="3" borderId="0" xfId="1" applyFont="1" applyFill="1" applyBorder="1" applyAlignment="1" applyProtection="1">
      <alignment horizontal="right" indent="1"/>
      <protection hidden="1"/>
    </xf>
    <xf numFmtId="0" fontId="24" fillId="3" borderId="0" xfId="8" applyFont="1" applyFill="1" applyAlignment="1" applyProtection="1">
      <alignment horizontal="left"/>
      <protection hidden="1"/>
    </xf>
    <xf numFmtId="0" fontId="21" fillId="7" borderId="0" xfId="0" applyFont="1" applyFill="1" applyAlignment="1" applyProtection="1">
      <alignment horizontal="center"/>
      <protection hidden="1"/>
    </xf>
    <xf numFmtId="0" fontId="21" fillId="7" borderId="33" xfId="0" applyFont="1" applyFill="1" applyBorder="1" applyAlignment="1" applyProtection="1">
      <alignment horizontal="center"/>
      <protection hidden="1"/>
    </xf>
    <xf numFmtId="0" fontId="21" fillId="7" borderId="34" xfId="0" applyFont="1" applyFill="1" applyBorder="1" applyAlignment="1" applyProtection="1">
      <alignment horizontal="center"/>
      <protection hidden="1"/>
    </xf>
    <xf numFmtId="0" fontId="21" fillId="7" borderId="35" xfId="0" applyFont="1" applyFill="1" applyBorder="1" applyAlignment="1" applyProtection="1">
      <alignment horizontal="center"/>
      <protection hidden="1"/>
    </xf>
    <xf numFmtId="165" fontId="36" fillId="7" borderId="0" xfId="0" applyNumberFormat="1" applyFont="1" applyFill="1" applyAlignment="1" applyProtection="1">
      <alignment horizontal="center"/>
      <protection hidden="1"/>
    </xf>
    <xf numFmtId="165" fontId="36" fillId="7" borderId="34" xfId="0" applyNumberFormat="1" applyFont="1" applyFill="1" applyBorder="1" applyAlignment="1" applyProtection="1">
      <alignment horizontal="center"/>
      <protection hidden="1"/>
    </xf>
    <xf numFmtId="0" fontId="21" fillId="7" borderId="36" xfId="0" applyFont="1" applyFill="1" applyBorder="1" applyAlignment="1" applyProtection="1">
      <alignment horizontal="center" vertical="center"/>
      <protection hidden="1"/>
    </xf>
    <xf numFmtId="0" fontId="21" fillId="7" borderId="36" xfId="0" applyFont="1" applyFill="1" applyBorder="1" applyAlignment="1" applyProtection="1">
      <alignment horizontal="center"/>
      <protection hidden="1"/>
    </xf>
    <xf numFmtId="0" fontId="21" fillId="7" borderId="38" xfId="0" applyFont="1" applyFill="1" applyBorder="1" applyAlignment="1" applyProtection="1">
      <alignment horizontal="center"/>
      <protection hidden="1"/>
    </xf>
    <xf numFmtId="0" fontId="21" fillId="7" borderId="39" xfId="0" applyFont="1" applyFill="1" applyBorder="1" applyAlignment="1" applyProtection="1">
      <alignment horizontal="center"/>
      <protection hidden="1"/>
    </xf>
    <xf numFmtId="0" fontId="21" fillId="7" borderId="40" xfId="0" applyFont="1" applyFill="1" applyBorder="1" applyAlignment="1" applyProtection="1">
      <alignment horizontal="center" vertical="center"/>
      <protection hidden="1"/>
    </xf>
    <xf numFmtId="0" fontId="21" fillId="7" borderId="41" xfId="0" applyFont="1" applyFill="1" applyBorder="1" applyAlignment="1" applyProtection="1">
      <alignment horizontal="center"/>
      <protection hidden="1"/>
    </xf>
    <xf numFmtId="165" fontId="36" fillId="7" borderId="43" xfId="0" applyNumberFormat="1" applyFont="1" applyFill="1" applyBorder="1" applyAlignment="1" applyProtection="1">
      <alignment horizontal="center"/>
      <protection hidden="1"/>
    </xf>
    <xf numFmtId="0" fontId="21" fillId="7" borderId="43" xfId="0" applyFont="1" applyFill="1" applyBorder="1" applyAlignment="1" applyProtection="1">
      <alignment horizontal="center"/>
      <protection hidden="1"/>
    </xf>
    <xf numFmtId="0" fontId="21" fillId="7" borderId="43" xfId="0" applyFont="1" applyFill="1" applyBorder="1" applyAlignment="1" applyProtection="1">
      <alignment horizontal="center" vertical="center"/>
      <protection hidden="1"/>
    </xf>
    <xf numFmtId="0" fontId="21" fillId="7" borderId="40" xfId="0" applyFont="1" applyFill="1" applyBorder="1" applyAlignment="1" applyProtection="1">
      <alignment horizontal="center"/>
      <protection hidden="1"/>
    </xf>
    <xf numFmtId="165" fontId="36" fillId="7" borderId="46" xfId="0" applyNumberFormat="1" applyFont="1" applyFill="1" applyBorder="1" applyAlignment="1" applyProtection="1">
      <alignment horizontal="center"/>
      <protection hidden="1"/>
    </xf>
    <xf numFmtId="0" fontId="16" fillId="7" borderId="48" xfId="8" applyFont="1" applyFill="1" applyBorder="1" applyAlignment="1" applyProtection="1">
      <alignment horizontal="center"/>
      <protection hidden="1"/>
    </xf>
    <xf numFmtId="0" fontId="16" fillId="7" borderId="34" xfId="8" applyFont="1" applyFill="1" applyBorder="1" applyAlignment="1" applyProtection="1">
      <alignment horizontal="center"/>
      <protection hidden="1"/>
    </xf>
    <xf numFmtId="0" fontId="28" fillId="7" borderId="39" xfId="8" applyFont="1" applyFill="1" applyBorder="1" applyAlignment="1" applyProtection="1">
      <alignment horizontal="center"/>
      <protection hidden="1"/>
    </xf>
    <xf numFmtId="0" fontId="28" fillId="7" borderId="41" xfId="8" applyFont="1" applyFill="1" applyBorder="1" applyAlignment="1" applyProtection="1">
      <alignment horizontal="center"/>
      <protection hidden="1"/>
    </xf>
    <xf numFmtId="0" fontId="28" fillId="7" borderId="42" xfId="8" applyFont="1" applyFill="1" applyBorder="1" applyAlignment="1" applyProtection="1">
      <alignment horizontal="center"/>
      <protection hidden="1"/>
    </xf>
    <xf numFmtId="0" fontId="28" fillId="3" borderId="0" xfId="0" applyFont="1" applyFill="1" applyAlignment="1" applyProtection="1">
      <alignment vertical="center"/>
      <protection hidden="1"/>
    </xf>
    <xf numFmtId="167" fontId="28" fillId="3" borderId="7" xfId="10" applyNumberFormat="1" applyFont="1" applyFill="1" applyBorder="1" applyProtection="1">
      <protection hidden="1"/>
    </xf>
    <xf numFmtId="166" fontId="21" fillId="3" borderId="0" xfId="0" applyNumberFormat="1" applyFont="1" applyFill="1" applyAlignment="1" applyProtection="1">
      <alignment horizontal="right"/>
      <protection hidden="1"/>
    </xf>
    <xf numFmtId="166" fontId="28" fillId="3" borderId="0" xfId="0" applyNumberFormat="1" applyFont="1" applyFill="1" applyAlignment="1" applyProtection="1">
      <alignment horizontal="right"/>
      <protection hidden="1"/>
    </xf>
    <xf numFmtId="1" fontId="28" fillId="3" borderId="0" xfId="8" applyNumberFormat="1" applyFont="1" applyFill="1" applyProtection="1">
      <protection hidden="1"/>
    </xf>
    <xf numFmtId="166" fontId="21" fillId="3" borderId="3" xfId="0" applyNumberFormat="1" applyFont="1" applyFill="1" applyBorder="1" applyAlignment="1" applyProtection="1">
      <alignment horizontal="right"/>
      <protection hidden="1"/>
    </xf>
    <xf numFmtId="166" fontId="28" fillId="0" borderId="7" xfId="8" applyNumberFormat="1" applyFont="1" applyBorder="1" applyProtection="1">
      <protection hidden="1"/>
    </xf>
    <xf numFmtId="166" fontId="28" fillId="6" borderId="52" xfId="4" applyNumberFormat="1" applyFont="1" applyFill="1" applyBorder="1" applyAlignment="1" applyProtection="1">
      <alignment horizontal="left"/>
      <protection hidden="1"/>
    </xf>
    <xf numFmtId="9" fontId="34" fillId="6" borderId="53" xfId="1" applyFont="1" applyFill="1" applyBorder="1" applyAlignment="1" applyProtection="1">
      <alignment horizontal="right"/>
      <protection hidden="1"/>
    </xf>
    <xf numFmtId="166" fontId="28" fillId="6" borderId="56" xfId="4" applyNumberFormat="1" applyFont="1" applyFill="1" applyBorder="1" applyAlignment="1" applyProtection="1">
      <alignment horizontal="left"/>
      <protection hidden="1"/>
    </xf>
    <xf numFmtId="9" fontId="34" fillId="6" borderId="57" xfId="1" applyFont="1" applyFill="1" applyBorder="1" applyAlignment="1" applyProtection="1">
      <alignment horizontal="right"/>
      <protection hidden="1"/>
    </xf>
    <xf numFmtId="9" fontId="45" fillId="6" borderId="59" xfId="1" applyFont="1" applyFill="1" applyBorder="1" applyAlignment="1" applyProtection="1">
      <alignment horizontal="right"/>
      <protection hidden="1"/>
    </xf>
    <xf numFmtId="166" fontId="16" fillId="6" borderId="50" xfId="4" applyNumberFormat="1" applyFont="1" applyFill="1" applyBorder="1" applyAlignment="1" applyProtection="1">
      <alignment horizontal="left"/>
      <protection hidden="1"/>
    </xf>
    <xf numFmtId="166" fontId="16" fillId="6" borderId="12" xfId="4" applyNumberFormat="1" applyFont="1" applyFill="1" applyBorder="1" applyAlignment="1" applyProtection="1">
      <alignment horizontal="left" indent="2"/>
      <protection hidden="1"/>
    </xf>
    <xf numFmtId="166" fontId="16" fillId="6" borderId="12" xfId="4" applyNumberFormat="1" applyFont="1" applyFill="1" applyBorder="1" applyAlignment="1" applyProtection="1">
      <alignment horizontal="right"/>
      <protection hidden="1"/>
    </xf>
    <xf numFmtId="166" fontId="42" fillId="6" borderId="60" xfId="4" applyNumberFormat="1" applyFont="1" applyFill="1" applyBorder="1" applyAlignment="1" applyProtection="1">
      <alignment horizontal="left"/>
      <protection hidden="1"/>
    </xf>
    <xf numFmtId="166" fontId="41" fillId="6" borderId="61" xfId="4" applyNumberFormat="1" applyFont="1" applyFill="1" applyBorder="1" applyAlignment="1" applyProtection="1">
      <alignment horizontal="right"/>
      <protection hidden="1"/>
    </xf>
    <xf numFmtId="166" fontId="34" fillId="6" borderId="61" xfId="4" applyNumberFormat="1" applyFont="1" applyFill="1" applyBorder="1" applyAlignment="1" applyProtection="1">
      <alignment horizontal="right"/>
      <protection hidden="1"/>
    </xf>
    <xf numFmtId="166" fontId="28" fillId="6" borderId="62" xfId="4" applyNumberFormat="1" applyFont="1" applyFill="1" applyBorder="1" applyProtection="1">
      <protection hidden="1"/>
    </xf>
    <xf numFmtId="166" fontId="34" fillId="6" borderId="63" xfId="4" applyNumberFormat="1" applyFont="1" applyFill="1" applyBorder="1" applyAlignment="1" applyProtection="1">
      <alignment horizontal="right"/>
      <protection hidden="1"/>
    </xf>
    <xf numFmtId="166" fontId="28" fillId="6" borderId="60" xfId="4" applyNumberFormat="1" applyFont="1" applyFill="1" applyBorder="1" applyProtection="1">
      <protection hidden="1"/>
    </xf>
    <xf numFmtId="166" fontId="28" fillId="6" borderId="58" xfId="4" applyNumberFormat="1" applyFont="1" applyFill="1" applyBorder="1" applyProtection="1">
      <protection hidden="1"/>
    </xf>
    <xf numFmtId="166" fontId="28" fillId="6" borderId="3" xfId="4" applyNumberFormat="1" applyFont="1" applyFill="1" applyBorder="1" applyAlignment="1" applyProtection="1">
      <alignment horizontal="left" indent="2"/>
      <protection hidden="1"/>
    </xf>
    <xf numFmtId="166" fontId="28" fillId="6" borderId="3" xfId="4" applyNumberFormat="1" applyFont="1" applyFill="1" applyBorder="1" applyAlignment="1" applyProtection="1">
      <alignment horizontal="center"/>
      <protection hidden="1"/>
    </xf>
    <xf numFmtId="166" fontId="28" fillId="6" borderId="3" xfId="4" applyNumberFormat="1" applyFont="1" applyFill="1" applyBorder="1" applyAlignment="1" applyProtection="1">
      <alignment horizontal="right"/>
      <protection hidden="1"/>
    </xf>
    <xf numFmtId="166" fontId="34" fillId="6" borderId="59" xfId="4" applyNumberFormat="1" applyFont="1" applyFill="1" applyBorder="1" applyAlignment="1" applyProtection="1">
      <alignment horizontal="right"/>
      <protection hidden="1"/>
    </xf>
    <xf numFmtId="166" fontId="16" fillId="6" borderId="51" xfId="4" applyNumberFormat="1" applyFont="1" applyFill="1" applyBorder="1" applyAlignment="1" applyProtection="1">
      <alignment horizontal="right"/>
      <protection hidden="1"/>
    </xf>
    <xf numFmtId="166" fontId="28" fillId="6" borderId="0" xfId="4" applyNumberFormat="1" applyFont="1" applyFill="1" applyAlignment="1" applyProtection="1">
      <alignment horizontal="left"/>
      <protection hidden="1"/>
    </xf>
    <xf numFmtId="167" fontId="28" fillId="3" borderId="14" xfId="0" applyNumberFormat="1" applyFont="1" applyFill="1" applyBorder="1" applyAlignment="1" applyProtection="1">
      <alignment vertical="center"/>
      <protection hidden="1"/>
    </xf>
    <xf numFmtId="167" fontId="28" fillId="3" borderId="3" xfId="10" applyNumberFormat="1" applyFont="1" applyFill="1" applyBorder="1" applyProtection="1">
      <protection hidden="1"/>
    </xf>
    <xf numFmtId="166" fontId="25" fillId="3" borderId="0" xfId="0" applyNumberFormat="1" applyFont="1" applyFill="1" applyAlignment="1" applyProtection="1">
      <alignment horizontal="right"/>
      <protection hidden="1"/>
    </xf>
    <xf numFmtId="166" fontId="28" fillId="0" borderId="7" xfId="10" applyNumberFormat="1" applyFont="1" applyBorder="1" applyProtection="1">
      <protection hidden="1"/>
    </xf>
    <xf numFmtId="166" fontId="29" fillId="3" borderId="7" xfId="10" applyNumberFormat="1" applyFont="1" applyFill="1" applyBorder="1" applyProtection="1">
      <protection hidden="1"/>
    </xf>
    <xf numFmtId="166" fontId="28" fillId="3" borderId="14" xfId="0" applyNumberFormat="1" applyFont="1" applyFill="1" applyBorder="1" applyAlignment="1" applyProtection="1">
      <alignment vertical="center"/>
      <protection hidden="1"/>
    </xf>
    <xf numFmtId="166" fontId="28" fillId="3" borderId="3" xfId="10" applyNumberFormat="1" applyFont="1" applyFill="1" applyBorder="1" applyProtection="1">
      <protection hidden="1"/>
    </xf>
    <xf numFmtId="166" fontId="28" fillId="3" borderId="10" xfId="8" applyNumberFormat="1" applyFont="1" applyFill="1" applyBorder="1" applyProtection="1">
      <protection hidden="1"/>
    </xf>
    <xf numFmtId="166" fontId="28" fillId="3" borderId="10" xfId="10" applyNumberFormat="1" applyFont="1" applyFill="1" applyBorder="1" applyProtection="1">
      <protection hidden="1"/>
    </xf>
    <xf numFmtId="166" fontId="15" fillId="3" borderId="0" xfId="10" applyNumberFormat="1" applyFont="1" applyFill="1" applyProtection="1">
      <protection hidden="1"/>
    </xf>
    <xf numFmtId="166" fontId="25" fillId="3" borderId="0" xfId="1" applyNumberFormat="1" applyFont="1" applyFill="1" applyBorder="1" applyAlignment="1" applyProtection="1">
      <alignment horizontal="right"/>
      <protection hidden="1"/>
    </xf>
    <xf numFmtId="166" fontId="15" fillId="3" borderId="49" xfId="0" applyNumberFormat="1" applyFont="1" applyFill="1" applyBorder="1" applyAlignment="1" applyProtection="1">
      <alignment horizontal="right"/>
      <protection hidden="1"/>
    </xf>
    <xf numFmtId="0" fontId="25" fillId="0" borderId="0" xfId="0" applyFont="1" applyProtection="1">
      <protection hidden="1"/>
    </xf>
    <xf numFmtId="166" fontId="29" fillId="3" borderId="8" xfId="10" applyNumberFormat="1" applyFont="1" applyFill="1" applyBorder="1" applyProtection="1">
      <protection hidden="1"/>
    </xf>
    <xf numFmtId="167" fontId="28" fillId="3" borderId="8" xfId="10" applyNumberFormat="1" applyFont="1" applyFill="1" applyBorder="1" applyProtection="1">
      <protection hidden="1"/>
    </xf>
    <xf numFmtId="166" fontId="28" fillId="3" borderId="14" xfId="10" applyNumberFormat="1" applyFont="1" applyFill="1" applyBorder="1" applyProtection="1">
      <protection hidden="1"/>
    </xf>
    <xf numFmtId="167" fontId="28" fillId="3" borderId="14" xfId="0" applyNumberFormat="1" applyFont="1" applyFill="1" applyBorder="1" applyProtection="1">
      <protection hidden="1"/>
    </xf>
    <xf numFmtId="166" fontId="21" fillId="3" borderId="10" xfId="0" applyNumberFormat="1" applyFont="1" applyFill="1" applyBorder="1" applyAlignment="1" applyProtection="1">
      <alignment horizontal="right"/>
      <protection hidden="1"/>
    </xf>
    <xf numFmtId="166" fontId="28" fillId="3" borderId="13" xfId="8" applyNumberFormat="1" applyFont="1" applyFill="1" applyBorder="1" applyProtection="1">
      <protection hidden="1"/>
    </xf>
    <xf numFmtId="166" fontId="21" fillId="3" borderId="13" xfId="0" applyNumberFormat="1" applyFont="1" applyFill="1" applyBorder="1" applyAlignment="1" applyProtection="1">
      <alignment horizontal="right"/>
      <protection hidden="1"/>
    </xf>
    <xf numFmtId="166" fontId="28" fillId="3" borderId="3" xfId="8" applyNumberFormat="1" applyFont="1" applyFill="1" applyBorder="1" applyProtection="1">
      <protection hidden="1"/>
    </xf>
    <xf numFmtId="166" fontId="28" fillId="3" borderId="0" xfId="4" applyNumberFormat="1" applyFont="1" applyFill="1" applyProtection="1">
      <protection hidden="1"/>
    </xf>
    <xf numFmtId="0" fontId="21" fillId="3" borderId="0" xfId="0" applyFont="1" applyFill="1" applyAlignment="1" applyProtection="1">
      <alignment horizontal="left"/>
      <protection hidden="1"/>
    </xf>
    <xf numFmtId="9" fontId="28" fillId="3" borderId="10" xfId="1" applyFont="1" applyFill="1" applyBorder="1" applyAlignment="1" applyProtection="1">
      <alignment horizontal="right"/>
      <protection hidden="1"/>
    </xf>
    <xf numFmtId="164" fontId="21" fillId="3" borderId="10" xfId="1" applyNumberFormat="1" applyFont="1" applyFill="1" applyBorder="1" applyAlignment="1" applyProtection="1">
      <alignment horizontal="right"/>
      <protection hidden="1"/>
    </xf>
    <xf numFmtId="166" fontId="34" fillId="3" borderId="0" xfId="4" applyNumberFormat="1" applyFont="1" applyFill="1" applyProtection="1">
      <protection hidden="1"/>
    </xf>
    <xf numFmtId="0" fontId="21" fillId="3" borderId="10" xfId="0" applyFont="1" applyFill="1" applyBorder="1" applyProtection="1">
      <protection hidden="1"/>
    </xf>
    <xf numFmtId="9" fontId="28" fillId="3" borderId="13" xfId="1" applyFont="1" applyFill="1" applyBorder="1" applyAlignment="1" applyProtection="1">
      <alignment horizontal="right"/>
      <protection hidden="1"/>
    </xf>
    <xf numFmtId="164" fontId="21" fillId="3" borderId="13" xfId="1" applyNumberFormat="1" applyFont="1" applyFill="1" applyBorder="1" applyAlignment="1" applyProtection="1">
      <alignment horizontal="right"/>
      <protection hidden="1"/>
    </xf>
    <xf numFmtId="164" fontId="21" fillId="3" borderId="0" xfId="1" applyNumberFormat="1" applyFont="1" applyFill="1" applyBorder="1" applyAlignment="1" applyProtection="1">
      <alignment horizontal="left"/>
      <protection hidden="1"/>
    </xf>
    <xf numFmtId="168" fontId="21" fillId="3" borderId="0" xfId="0" applyNumberFormat="1" applyFont="1" applyFill="1" applyAlignment="1" applyProtection="1">
      <alignment horizontal="left"/>
      <protection hidden="1"/>
    </xf>
    <xf numFmtId="166" fontId="15" fillId="3" borderId="0" xfId="4" applyNumberFormat="1" applyFont="1" applyFill="1" applyProtection="1">
      <protection hidden="1"/>
    </xf>
    <xf numFmtId="0" fontId="25" fillId="0" borderId="0" xfId="0" applyFont="1" applyAlignment="1" applyProtection="1">
      <alignment vertical="center"/>
      <protection hidden="1"/>
    </xf>
    <xf numFmtId="0" fontId="21" fillId="3" borderId="3" xfId="8" applyFont="1" applyFill="1" applyBorder="1" applyAlignment="1" applyProtection="1">
      <alignment horizontal="left"/>
      <protection hidden="1"/>
    </xf>
    <xf numFmtId="166" fontId="46" fillId="3" borderId="3" xfId="1" applyNumberFormat="1" applyFont="1" applyFill="1" applyBorder="1" applyAlignment="1" applyProtection="1">
      <alignment horizontal="right"/>
      <protection hidden="1"/>
    </xf>
    <xf numFmtId="166" fontId="21" fillId="3" borderId="13" xfId="1" applyNumberFormat="1" applyFont="1" applyFill="1" applyBorder="1" applyAlignment="1" applyProtection="1">
      <alignment horizontal="center"/>
      <protection hidden="1"/>
    </xf>
    <xf numFmtId="9" fontId="46" fillId="3" borderId="3" xfId="1" applyFont="1" applyFill="1" applyBorder="1" applyAlignment="1" applyProtection="1">
      <alignment horizontal="right"/>
      <protection hidden="1"/>
    </xf>
    <xf numFmtId="9" fontId="28" fillId="3" borderId="3" xfId="1" applyFont="1" applyFill="1" applyBorder="1" applyAlignment="1" applyProtection="1">
      <alignment horizontal="right"/>
      <protection hidden="1"/>
    </xf>
    <xf numFmtId="166" fontId="39" fillId="3" borderId="0" xfId="4" applyNumberFormat="1" applyFont="1" applyFill="1" applyProtection="1">
      <protection hidden="1"/>
    </xf>
    <xf numFmtId="166" fontId="16" fillId="3" borderId="0" xfId="4" applyNumberFormat="1" applyFont="1" applyFill="1" applyProtection="1">
      <protection hidden="1"/>
    </xf>
    <xf numFmtId="166" fontId="16" fillId="3" borderId="0" xfId="4" applyNumberFormat="1" applyFont="1" applyFill="1" applyAlignment="1" applyProtection="1">
      <alignment horizontal="right"/>
      <protection hidden="1"/>
    </xf>
    <xf numFmtId="167" fontId="28" fillId="3" borderId="0" xfId="4" applyNumberFormat="1" applyFont="1" applyFill="1" applyProtection="1">
      <protection hidden="1"/>
    </xf>
    <xf numFmtId="167" fontId="28" fillId="3" borderId="22" xfId="10" applyNumberFormat="1" applyFont="1" applyFill="1" applyBorder="1" applyProtection="1">
      <protection hidden="1"/>
    </xf>
    <xf numFmtId="166" fontId="49" fillId="3" borderId="0" xfId="4" applyNumberFormat="1" applyFont="1" applyFill="1" applyAlignment="1" applyProtection="1">
      <alignment vertical="center"/>
      <protection hidden="1"/>
    </xf>
    <xf numFmtId="166" fontId="52" fillId="3" borderId="0" xfId="4" applyNumberFormat="1" applyFont="1" applyFill="1" applyAlignment="1" applyProtection="1">
      <alignment horizontal="left" vertical="center"/>
      <protection hidden="1"/>
    </xf>
    <xf numFmtId="167" fontId="28" fillId="3" borderId="22" xfId="4" applyNumberFormat="1" applyFont="1" applyFill="1" applyBorder="1" applyProtection="1">
      <protection hidden="1"/>
    </xf>
    <xf numFmtId="166" fontId="28" fillId="3" borderId="49" xfId="4" applyNumberFormat="1" applyFont="1" applyFill="1" applyBorder="1" applyAlignment="1" applyProtection="1">
      <alignment horizontal="center"/>
      <protection hidden="1"/>
    </xf>
    <xf numFmtId="0" fontId="21" fillId="3" borderId="0" xfId="8" applyFont="1" applyFill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6" fillId="3" borderId="0" xfId="8" applyFont="1" applyFill="1" applyAlignment="1" applyProtection="1">
      <alignment horizontal="right" vertical="center"/>
      <protection hidden="1"/>
    </xf>
    <xf numFmtId="0" fontId="16" fillId="3" borderId="0" xfId="8" applyFont="1" applyFill="1" applyAlignment="1" applyProtection="1">
      <alignment horizontal="left" vertical="center" indent="3"/>
      <protection hidden="1"/>
    </xf>
    <xf numFmtId="166" fontId="43" fillId="6" borderId="58" xfId="4" applyNumberFormat="1" applyFont="1" applyFill="1" applyBorder="1" applyAlignment="1" applyProtection="1">
      <alignment horizontal="left" vertical="center"/>
      <protection hidden="1"/>
    </xf>
    <xf numFmtId="166" fontId="43" fillId="6" borderId="3" xfId="4" applyNumberFormat="1" applyFont="1" applyFill="1" applyBorder="1" applyAlignment="1" applyProtection="1">
      <alignment horizontal="right" vertical="center"/>
      <protection hidden="1"/>
    </xf>
    <xf numFmtId="9" fontId="43" fillId="6" borderId="3" xfId="1" applyFont="1" applyFill="1" applyBorder="1" applyAlignment="1" applyProtection="1">
      <alignment horizontal="right" vertical="center"/>
      <protection hidden="1"/>
    </xf>
    <xf numFmtId="165" fontId="28" fillId="3" borderId="3" xfId="4" applyNumberFormat="1" applyFont="1" applyFill="1" applyBorder="1" applyProtection="1">
      <protection hidden="1"/>
    </xf>
    <xf numFmtId="166" fontId="28" fillId="3" borderId="2" xfId="0" applyNumberFormat="1" applyFont="1" applyFill="1" applyBorder="1" applyProtection="1">
      <protection hidden="1"/>
    </xf>
    <xf numFmtId="170" fontId="28" fillId="3" borderId="0" xfId="4" applyNumberFormat="1" applyFont="1" applyFill="1" applyProtection="1">
      <protection hidden="1"/>
    </xf>
    <xf numFmtId="166" fontId="38" fillId="3" borderId="0" xfId="4" applyNumberFormat="1" applyFont="1" applyFill="1" applyAlignment="1" applyProtection="1">
      <alignment vertical="center"/>
      <protection hidden="1"/>
    </xf>
    <xf numFmtId="167" fontId="15" fillId="0" borderId="0" xfId="1" applyNumberFormat="1" applyFont="1" applyFill="1" applyBorder="1" applyAlignment="1" applyProtection="1">
      <protection hidden="1"/>
    </xf>
    <xf numFmtId="166" fontId="15" fillId="0" borderId="0" xfId="1" applyNumberFormat="1" applyFont="1" applyFill="1" applyBorder="1" applyAlignment="1" applyProtection="1">
      <protection hidden="1"/>
    </xf>
    <xf numFmtId="165" fontId="28" fillId="3" borderId="2" xfId="4" applyNumberFormat="1" applyFont="1" applyFill="1" applyBorder="1" applyProtection="1">
      <protection hidden="1"/>
    </xf>
    <xf numFmtId="0" fontId="10" fillId="3" borderId="0" xfId="8" applyFont="1" applyFill="1" applyAlignment="1" applyProtection="1">
      <alignment horizontal="right"/>
      <protection hidden="1"/>
    </xf>
    <xf numFmtId="170" fontId="28" fillId="3" borderId="19" xfId="4" applyNumberFormat="1" applyFont="1" applyFill="1" applyBorder="1" applyAlignment="1" applyProtection="1">
      <alignment horizontal="right"/>
      <protection hidden="1"/>
    </xf>
    <xf numFmtId="166" fontId="28" fillId="3" borderId="3" xfId="10" applyNumberFormat="1" applyFont="1" applyFill="1" applyBorder="1" applyAlignment="1" applyProtection="1">
      <alignment horizontal="right"/>
      <protection hidden="1"/>
    </xf>
    <xf numFmtId="2" fontId="22" fillId="3" borderId="0" xfId="8" applyNumberFormat="1" applyFont="1" applyFill="1" applyAlignment="1" applyProtection="1">
      <alignment horizontal="left"/>
      <protection hidden="1"/>
    </xf>
    <xf numFmtId="166" fontId="21" fillId="0" borderId="0" xfId="1" applyNumberFormat="1" applyFont="1" applyFill="1" applyBorder="1" applyAlignment="1" applyProtection="1">
      <protection hidden="1"/>
    </xf>
    <xf numFmtId="0" fontId="54" fillId="0" borderId="0" xfId="0" applyFont="1" applyAlignment="1" applyProtection="1">
      <alignment horizontal="center"/>
      <protection hidden="1"/>
    </xf>
    <xf numFmtId="166" fontId="54" fillId="3" borderId="0" xfId="4" applyNumberFormat="1" applyFont="1" applyFill="1" applyAlignment="1" applyProtection="1">
      <alignment horizontal="center"/>
      <protection hidden="1"/>
    </xf>
    <xf numFmtId="166" fontId="56" fillId="3" borderId="0" xfId="4" applyNumberFormat="1" applyFont="1" applyFill="1" applyProtection="1">
      <protection hidden="1"/>
    </xf>
    <xf numFmtId="166" fontId="56" fillId="3" borderId="0" xfId="4" applyNumberFormat="1" applyFont="1" applyFill="1" applyAlignment="1" applyProtection="1">
      <alignment horizontal="left" vertical="center"/>
      <protection hidden="1"/>
    </xf>
    <xf numFmtId="0" fontId="28" fillId="3" borderId="0" xfId="0" quotePrefix="1" applyFont="1" applyFill="1" applyAlignment="1" applyProtection="1">
      <alignment vertical="center"/>
      <protection hidden="1"/>
    </xf>
    <xf numFmtId="164" fontId="21" fillId="3" borderId="13" xfId="1" applyNumberFormat="1" applyFont="1" applyFill="1" applyBorder="1" applyAlignment="1" applyProtection="1">
      <alignment horizontal="center" wrapText="1"/>
      <protection hidden="1"/>
    </xf>
    <xf numFmtId="164" fontId="21" fillId="3" borderId="10" xfId="1" applyNumberFormat="1" applyFont="1" applyFill="1" applyBorder="1" applyAlignment="1" applyProtection="1">
      <alignment horizontal="center"/>
      <protection hidden="1"/>
    </xf>
    <xf numFmtId="0" fontId="21" fillId="6" borderId="52" xfId="0" applyFont="1" applyFill="1" applyBorder="1" applyAlignment="1" applyProtection="1">
      <alignment horizontal="left"/>
      <protection hidden="1"/>
    </xf>
    <xf numFmtId="9" fontId="21" fillId="6" borderId="9" xfId="0" applyNumberFormat="1" applyFont="1" applyFill="1" applyBorder="1" applyAlignment="1" applyProtection="1">
      <alignment horizontal="right"/>
      <protection hidden="1"/>
    </xf>
    <xf numFmtId="9" fontId="22" fillId="6" borderId="53" xfId="0" applyNumberFormat="1" applyFont="1" applyFill="1" applyBorder="1" applyAlignment="1" applyProtection="1">
      <alignment horizontal="right"/>
      <protection hidden="1"/>
    </xf>
    <xf numFmtId="0" fontId="21" fillId="6" borderId="54" xfId="0" applyFont="1" applyFill="1" applyBorder="1" applyAlignment="1" applyProtection="1">
      <alignment horizontal="left"/>
      <protection hidden="1"/>
    </xf>
    <xf numFmtId="9" fontId="21" fillId="6" borderId="8" xfId="0" applyNumberFormat="1" applyFont="1" applyFill="1" applyBorder="1" applyAlignment="1" applyProtection="1">
      <alignment horizontal="right"/>
      <protection hidden="1"/>
    </xf>
    <xf numFmtId="9" fontId="22" fillId="6" borderId="55" xfId="0" applyNumberFormat="1" applyFont="1" applyFill="1" applyBorder="1" applyAlignment="1" applyProtection="1">
      <alignment horizontal="right"/>
      <protection hidden="1"/>
    </xf>
    <xf numFmtId="0" fontId="21" fillId="6" borderId="56" xfId="0" applyFont="1" applyFill="1" applyBorder="1" applyAlignment="1" applyProtection="1">
      <alignment horizontal="left"/>
      <protection hidden="1"/>
    </xf>
    <xf numFmtId="9" fontId="22" fillId="6" borderId="57" xfId="0" applyNumberFormat="1" applyFont="1" applyFill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28" fillId="0" borderId="0" xfId="0" applyFont="1" applyProtection="1"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3" borderId="0" xfId="0" applyFont="1" applyFill="1" applyAlignment="1" applyProtection="1">
      <alignment horizontal="left" vertical="center"/>
      <protection hidden="1"/>
    </xf>
    <xf numFmtId="0" fontId="21" fillId="3" borderId="0" xfId="0" applyFont="1" applyFill="1" applyAlignment="1" applyProtection="1">
      <alignment vertical="center"/>
      <protection hidden="1"/>
    </xf>
    <xf numFmtId="166" fontId="21" fillId="3" borderId="9" xfId="0" applyNumberFormat="1" applyFont="1" applyFill="1" applyBorder="1" applyAlignment="1" applyProtection="1">
      <alignment horizontal="right"/>
      <protection hidden="1"/>
    </xf>
    <xf numFmtId="166" fontId="21" fillId="3" borderId="16" xfId="0" applyNumberFormat="1" applyFont="1" applyFill="1" applyBorder="1" applyAlignment="1" applyProtection="1">
      <alignment horizontal="right"/>
      <protection hidden="1"/>
    </xf>
    <xf numFmtId="0" fontId="21" fillId="3" borderId="0" xfId="0" applyFont="1" applyFill="1" applyAlignment="1" applyProtection="1">
      <alignment horizontal="right"/>
      <protection hidden="1"/>
    </xf>
    <xf numFmtId="0" fontId="4" fillId="0" borderId="0" xfId="0" applyFont="1" applyAlignment="1" applyProtection="1">
      <alignment horizontal="right" indent="1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3" borderId="0" xfId="0" applyFont="1" applyFill="1" applyAlignment="1" applyProtection="1">
      <alignment horizontal="right"/>
      <protection hidden="1"/>
    </xf>
    <xf numFmtId="166" fontId="28" fillId="7" borderId="43" xfId="2" applyNumberFormat="1" applyFont="1" applyFill="1" applyBorder="1" applyAlignment="1" applyProtection="1">
      <alignment horizontal="center"/>
      <protection hidden="1"/>
    </xf>
    <xf numFmtId="166" fontId="28" fillId="7" borderId="41" xfId="2" applyNumberFormat="1" applyFont="1" applyFill="1" applyBorder="1" applyAlignment="1" applyProtection="1">
      <alignment horizontal="center"/>
      <protection hidden="1"/>
    </xf>
    <xf numFmtId="9" fontId="28" fillId="7" borderId="41" xfId="1" applyFont="1" applyFill="1" applyBorder="1" applyAlignment="1" applyProtection="1">
      <alignment horizontal="center"/>
      <protection hidden="1"/>
    </xf>
    <xf numFmtId="170" fontId="28" fillId="7" borderId="43" xfId="2" applyNumberFormat="1" applyFont="1" applyFill="1" applyBorder="1" applyAlignment="1" applyProtection="1">
      <alignment horizontal="center"/>
      <protection hidden="1"/>
    </xf>
    <xf numFmtId="170" fontId="28" fillId="7" borderId="41" xfId="2" applyNumberFormat="1" applyFont="1" applyFill="1" applyBorder="1" applyAlignment="1" applyProtection="1">
      <alignment horizontal="center"/>
      <protection hidden="1"/>
    </xf>
    <xf numFmtId="170" fontId="28" fillId="7" borderId="44" xfId="2" applyNumberFormat="1" applyFont="1" applyFill="1" applyBorder="1" applyAlignment="1" applyProtection="1">
      <alignment horizontal="center"/>
      <protection hidden="1"/>
    </xf>
    <xf numFmtId="170" fontId="28" fillId="7" borderId="42" xfId="2" applyNumberFormat="1" applyFont="1" applyFill="1" applyBorder="1" applyAlignment="1" applyProtection="1">
      <alignment horizontal="center"/>
      <protection hidden="1"/>
    </xf>
    <xf numFmtId="0" fontId="40" fillId="3" borderId="0" xfId="8" applyFont="1" applyFill="1" applyProtection="1">
      <protection hidden="1"/>
    </xf>
    <xf numFmtId="0" fontId="65" fillId="3" borderId="0" xfId="0" applyFont="1" applyFill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166" fontId="67" fillId="3" borderId="0" xfId="4" applyNumberFormat="1" applyFont="1" applyFill="1" applyProtection="1">
      <protection hidden="1"/>
    </xf>
    <xf numFmtId="166" fontId="51" fillId="3" borderId="0" xfId="4" applyNumberFormat="1" applyFont="1" applyFill="1" applyProtection="1">
      <protection hidden="1"/>
    </xf>
    <xf numFmtId="173" fontId="16" fillId="3" borderId="0" xfId="10" applyNumberFormat="1" applyFont="1" applyFill="1" applyAlignment="1" applyProtection="1">
      <alignment vertical="center"/>
      <protection hidden="1"/>
    </xf>
    <xf numFmtId="166" fontId="15" fillId="3" borderId="0" xfId="4" applyNumberFormat="1" applyFont="1" applyFill="1" applyAlignment="1" applyProtection="1">
      <alignment vertical="center"/>
      <protection hidden="1"/>
    </xf>
    <xf numFmtId="166" fontId="50" fillId="3" borderId="0" xfId="4" applyNumberFormat="1" applyFont="1" applyFill="1" applyAlignment="1" applyProtection="1">
      <alignment vertical="center"/>
      <protection hidden="1"/>
    </xf>
    <xf numFmtId="166" fontId="51" fillId="3" borderId="0" xfId="4" applyNumberFormat="1" applyFont="1" applyFill="1" applyAlignment="1" applyProtection="1">
      <alignment horizontal="left" vertical="top"/>
      <protection hidden="1"/>
    </xf>
    <xf numFmtId="166" fontId="28" fillId="3" borderId="0" xfId="10" applyNumberFormat="1" applyFont="1" applyFill="1" applyAlignment="1" applyProtection="1">
      <alignment horizontal="left" indent="1"/>
      <protection hidden="1"/>
    </xf>
    <xf numFmtId="167" fontId="29" fillId="3" borderId="0" xfId="10" applyNumberFormat="1" applyFont="1" applyFill="1" applyAlignment="1" applyProtection="1">
      <alignment horizontal="left" indent="1"/>
      <protection hidden="1"/>
    </xf>
    <xf numFmtId="173" fontId="28" fillId="3" borderId="0" xfId="10" quotePrefix="1" applyNumberFormat="1" applyFont="1" applyFill="1" applyAlignment="1" applyProtection="1">
      <alignment horizontal="left" indent="1"/>
      <protection hidden="1"/>
    </xf>
    <xf numFmtId="166" fontId="15" fillId="3" borderId="0" xfId="4" applyNumberFormat="1" applyFont="1" applyFill="1" applyAlignment="1" applyProtection="1">
      <alignment horizontal="left" indent="1"/>
      <protection hidden="1"/>
    </xf>
    <xf numFmtId="167" fontId="28" fillId="3" borderId="0" xfId="10" quotePrefix="1" applyNumberFormat="1" applyFont="1" applyFill="1" applyAlignment="1" applyProtection="1">
      <alignment horizontal="left" indent="1"/>
      <protection hidden="1"/>
    </xf>
    <xf numFmtId="167" fontId="28" fillId="3" borderId="22" xfId="10" quotePrefix="1" applyNumberFormat="1" applyFont="1" applyFill="1" applyBorder="1" applyAlignment="1" applyProtection="1">
      <alignment horizontal="left" indent="1"/>
      <protection hidden="1"/>
    </xf>
    <xf numFmtId="167" fontId="29" fillId="3" borderId="22" xfId="10" applyNumberFormat="1" applyFont="1" applyFill="1" applyBorder="1" applyAlignment="1" applyProtection="1">
      <alignment horizontal="left" indent="1"/>
      <protection hidden="1"/>
    </xf>
    <xf numFmtId="167" fontId="29" fillId="3" borderId="49" xfId="10" applyNumberFormat="1" applyFont="1" applyFill="1" applyBorder="1" applyAlignment="1" applyProtection="1">
      <alignment horizontal="left" indent="1"/>
      <protection hidden="1"/>
    </xf>
    <xf numFmtId="173" fontId="28" fillId="3" borderId="0" xfId="10" applyNumberFormat="1" applyFont="1" applyFill="1" applyAlignment="1" applyProtection="1">
      <alignment horizontal="left" indent="1"/>
      <protection hidden="1"/>
    </xf>
    <xf numFmtId="166" fontId="28" fillId="3" borderId="0" xfId="4" applyNumberFormat="1" applyFont="1" applyFill="1" applyAlignment="1" applyProtection="1">
      <alignment horizontal="left" indent="1"/>
      <protection hidden="1"/>
    </xf>
    <xf numFmtId="173" fontId="28" fillId="3" borderId="3" xfId="10" applyNumberFormat="1" applyFont="1" applyFill="1" applyBorder="1" applyAlignment="1" applyProtection="1">
      <alignment horizontal="left" indent="1"/>
      <protection hidden="1"/>
    </xf>
    <xf numFmtId="166" fontId="28" fillId="3" borderId="3" xfId="4" applyNumberFormat="1" applyFont="1" applyFill="1" applyBorder="1" applyAlignment="1" applyProtection="1">
      <alignment horizontal="left" indent="1"/>
      <protection hidden="1"/>
    </xf>
    <xf numFmtId="166" fontId="28" fillId="3" borderId="2" xfId="4" applyNumberFormat="1" applyFont="1" applyFill="1" applyBorder="1" applyAlignment="1" applyProtection="1">
      <alignment horizontal="left" indent="1"/>
      <protection hidden="1"/>
    </xf>
    <xf numFmtId="0" fontId="28" fillId="0" borderId="0" xfId="0" applyFont="1" applyAlignment="1" applyProtection="1">
      <alignment horizontal="left" indent="1"/>
      <protection hidden="1"/>
    </xf>
    <xf numFmtId="0" fontId="28" fillId="0" borderId="3" xfId="0" applyFont="1" applyBorder="1" applyAlignment="1" applyProtection="1">
      <alignment horizontal="left" indent="1"/>
      <protection hidden="1"/>
    </xf>
    <xf numFmtId="166" fontId="50" fillId="3" borderId="0" xfId="4" applyNumberFormat="1" applyFont="1" applyFill="1" applyAlignment="1" applyProtection="1">
      <alignment vertical="top"/>
      <protection hidden="1"/>
    </xf>
    <xf numFmtId="166" fontId="28" fillId="0" borderId="0" xfId="1" applyNumberFormat="1" applyFont="1" applyFill="1" applyBorder="1" applyAlignment="1" applyProtection="1">
      <alignment horizontal="right"/>
      <protection hidden="1"/>
    </xf>
    <xf numFmtId="167" fontId="28" fillId="3" borderId="0" xfId="10" applyNumberFormat="1" applyFont="1" applyFill="1" applyAlignment="1" applyProtection="1">
      <alignment horizontal="right"/>
      <protection hidden="1"/>
    </xf>
    <xf numFmtId="167" fontId="28" fillId="3" borderId="3" xfId="10" applyNumberFormat="1" applyFont="1" applyFill="1" applyBorder="1" applyAlignment="1" applyProtection="1">
      <alignment horizontal="right"/>
      <protection hidden="1"/>
    </xf>
    <xf numFmtId="166" fontId="51" fillId="3" borderId="0" xfId="4" applyNumberFormat="1" applyFont="1" applyFill="1" applyAlignment="1" applyProtection="1">
      <alignment horizontal="left"/>
      <protection hidden="1"/>
    </xf>
    <xf numFmtId="166" fontId="50" fillId="3" borderId="0" xfId="4" applyNumberFormat="1" applyFont="1" applyFill="1" applyProtection="1">
      <protection hidden="1"/>
    </xf>
    <xf numFmtId="166" fontId="15" fillId="3" borderId="0" xfId="4" applyNumberFormat="1" applyFont="1" applyFill="1" applyAlignment="1" applyProtection="1">
      <alignment horizontal="left" vertical="center"/>
      <protection hidden="1"/>
    </xf>
    <xf numFmtId="167" fontId="28" fillId="3" borderId="7" xfId="10" applyNumberFormat="1" applyFont="1" applyFill="1" applyBorder="1" applyAlignment="1" applyProtection="1">
      <alignment horizontal="left" indent="1"/>
      <protection hidden="1"/>
    </xf>
    <xf numFmtId="0" fontId="21" fillId="3" borderId="0" xfId="0" applyFont="1" applyFill="1" applyAlignment="1" applyProtection="1">
      <alignment horizontal="left" indent="1"/>
      <protection hidden="1"/>
    </xf>
    <xf numFmtId="0" fontId="25" fillId="3" borderId="0" xfId="8" applyFont="1" applyFill="1" applyAlignment="1" applyProtection="1">
      <alignment horizontal="left"/>
      <protection hidden="1"/>
    </xf>
    <xf numFmtId="164" fontId="21" fillId="3" borderId="0" xfId="1" applyNumberFormat="1" applyFont="1" applyFill="1" applyBorder="1" applyAlignment="1" applyProtection="1">
      <alignment horizontal="left" vertical="center"/>
      <protection hidden="1"/>
    </xf>
    <xf numFmtId="167" fontId="29" fillId="3" borderId="2" xfId="10" applyNumberFormat="1" applyFont="1" applyFill="1" applyBorder="1" applyAlignment="1" applyProtection="1">
      <alignment horizontal="left" vertical="center" indent="1"/>
      <protection hidden="1"/>
    </xf>
    <xf numFmtId="167" fontId="28" fillId="3" borderId="0" xfId="10" applyNumberFormat="1" applyFont="1" applyFill="1" applyAlignment="1" applyProtection="1">
      <alignment horizontal="left" vertical="center" indent="1"/>
      <protection hidden="1"/>
    </xf>
    <xf numFmtId="0" fontId="21" fillId="3" borderId="64" xfId="0" applyFont="1" applyFill="1" applyBorder="1" applyAlignment="1" applyProtection="1">
      <alignment horizontal="left" vertical="center" indent="1"/>
      <protection hidden="1"/>
    </xf>
    <xf numFmtId="0" fontId="21" fillId="0" borderId="0" xfId="0" applyFont="1" applyAlignment="1" applyProtection="1">
      <alignment horizontal="left" vertical="center" indent="1"/>
      <protection hidden="1"/>
    </xf>
    <xf numFmtId="167" fontId="28" fillId="3" borderId="0" xfId="10" quotePrefix="1" applyNumberFormat="1" applyFont="1" applyFill="1" applyAlignment="1" applyProtection="1">
      <alignment horizontal="left" indent="3"/>
      <protection hidden="1"/>
    </xf>
    <xf numFmtId="166" fontId="25" fillId="0" borderId="0" xfId="1" applyNumberFormat="1" applyFont="1" applyFill="1" applyBorder="1" applyAlignment="1" applyProtection="1">
      <alignment horizontal="right"/>
      <protection hidden="1"/>
    </xf>
    <xf numFmtId="166" fontId="25" fillId="0" borderId="0" xfId="1" applyNumberFormat="1" applyFont="1" applyFill="1" applyBorder="1" applyAlignment="1" applyProtection="1">
      <protection hidden="1"/>
    </xf>
    <xf numFmtId="166" fontId="25" fillId="3" borderId="12" xfId="4" applyNumberFormat="1" applyFont="1" applyFill="1" applyBorder="1" applyProtection="1">
      <protection hidden="1"/>
    </xf>
    <xf numFmtId="167" fontId="29" fillId="3" borderId="8" xfId="10" applyNumberFormat="1" applyFont="1" applyFill="1" applyBorder="1" applyProtection="1">
      <protection hidden="1"/>
    </xf>
    <xf numFmtId="167" fontId="28" fillId="3" borderId="49" xfId="10" applyNumberFormat="1" applyFont="1" applyFill="1" applyBorder="1" applyProtection="1">
      <protection hidden="1"/>
    </xf>
    <xf numFmtId="0" fontId="21" fillId="3" borderId="0" xfId="0" applyFont="1" applyFill="1" applyAlignment="1" applyProtection="1">
      <alignment horizontal="left" vertical="center" indent="1"/>
      <protection hidden="1"/>
    </xf>
    <xf numFmtId="168" fontId="21" fillId="3" borderId="0" xfId="0" applyNumberFormat="1" applyFont="1" applyFill="1" applyAlignment="1" applyProtection="1">
      <alignment horizontal="center"/>
      <protection hidden="1"/>
    </xf>
    <xf numFmtId="166" fontId="16" fillId="3" borderId="0" xfId="4" applyNumberFormat="1" applyFont="1" applyFill="1" applyAlignment="1" applyProtection="1">
      <alignment horizontal="left" indent="1"/>
      <protection hidden="1"/>
    </xf>
    <xf numFmtId="0" fontId="37" fillId="3" borderId="3" xfId="0" applyFont="1" applyFill="1" applyBorder="1" applyAlignment="1" applyProtection="1">
      <alignment horizontal="center" vertical="center"/>
      <protection hidden="1"/>
    </xf>
    <xf numFmtId="0" fontId="21" fillId="3" borderId="13" xfId="0" applyFont="1" applyFill="1" applyBorder="1" applyAlignment="1" applyProtection="1">
      <alignment horizontal="left" indent="1"/>
      <protection hidden="1"/>
    </xf>
    <xf numFmtId="0" fontId="21" fillId="3" borderId="10" xfId="0" applyFont="1" applyFill="1" applyBorder="1" applyAlignment="1" applyProtection="1">
      <alignment horizontal="left" indent="1"/>
      <protection hidden="1"/>
    </xf>
    <xf numFmtId="0" fontId="21" fillId="3" borderId="9" xfId="0" applyFont="1" applyFill="1" applyBorder="1" applyAlignment="1" applyProtection="1">
      <alignment horizontal="left" indent="1"/>
      <protection hidden="1"/>
    </xf>
    <xf numFmtId="9" fontId="28" fillId="3" borderId="9" xfId="1" applyFont="1" applyFill="1" applyBorder="1" applyAlignment="1" applyProtection="1">
      <alignment horizontal="right"/>
      <protection hidden="1"/>
    </xf>
    <xf numFmtId="164" fontId="21" fillId="3" borderId="9" xfId="0" applyNumberFormat="1" applyFont="1" applyFill="1" applyBorder="1" applyAlignment="1" applyProtection="1">
      <alignment horizontal="right"/>
      <protection hidden="1"/>
    </xf>
    <xf numFmtId="0" fontId="25" fillId="3" borderId="12" xfId="0" applyFont="1" applyFill="1" applyBorder="1" applyAlignment="1" applyProtection="1">
      <alignment horizontal="left"/>
      <protection hidden="1"/>
    </xf>
    <xf numFmtId="0" fontId="25" fillId="3" borderId="0" xfId="8" applyFont="1" applyFill="1" applyProtection="1">
      <protection hidden="1"/>
    </xf>
    <xf numFmtId="0" fontId="25" fillId="3" borderId="0" xfId="0" applyFont="1" applyFill="1" applyProtection="1">
      <protection hidden="1"/>
    </xf>
    <xf numFmtId="166" fontId="15" fillId="3" borderId="15" xfId="1" applyNumberFormat="1" applyFont="1" applyFill="1" applyBorder="1" applyAlignment="1" applyProtection="1">
      <alignment horizontal="center"/>
      <protection hidden="1"/>
    </xf>
    <xf numFmtId="164" fontId="21" fillId="3" borderId="0" xfId="1" applyNumberFormat="1" applyFont="1" applyFill="1" applyBorder="1" applyAlignment="1" applyProtection="1">
      <protection hidden="1"/>
    </xf>
    <xf numFmtId="0" fontId="21" fillId="3" borderId="15" xfId="0" applyFont="1" applyFill="1" applyBorder="1" applyAlignment="1" applyProtection="1">
      <alignment horizontal="left" indent="1"/>
      <protection hidden="1"/>
    </xf>
    <xf numFmtId="9" fontId="28" fillId="3" borderId="15" xfId="1" applyFont="1" applyFill="1" applyBorder="1" applyAlignment="1" applyProtection="1">
      <alignment horizontal="right"/>
      <protection hidden="1"/>
    </xf>
    <xf numFmtId="164" fontId="21" fillId="3" borderId="15" xfId="1" applyNumberFormat="1" applyFont="1" applyFill="1" applyBorder="1" applyAlignment="1" applyProtection="1">
      <alignment horizontal="right"/>
      <protection hidden="1"/>
    </xf>
    <xf numFmtId="164" fontId="21" fillId="3" borderId="65" xfId="1" applyNumberFormat="1" applyFont="1" applyFill="1" applyBorder="1" applyAlignment="1" applyProtection="1">
      <alignment horizontal="center"/>
      <protection hidden="1"/>
    </xf>
    <xf numFmtId="164" fontId="25" fillId="3" borderId="0" xfId="1" applyNumberFormat="1" applyFont="1" applyFill="1" applyBorder="1" applyAlignment="1" applyProtection="1">
      <alignment horizontal="center"/>
      <protection hidden="1"/>
    </xf>
    <xf numFmtId="164" fontId="21" fillId="3" borderId="0" xfId="1" applyNumberFormat="1" applyFont="1" applyFill="1" applyBorder="1" applyAlignment="1" applyProtection="1">
      <alignment horizontal="right" vertical="center"/>
      <protection hidden="1"/>
    </xf>
    <xf numFmtId="0" fontId="0" fillId="0" borderId="10" xfId="0" applyBorder="1" applyProtection="1">
      <protection hidden="1"/>
    </xf>
    <xf numFmtId="166" fontId="10" fillId="3" borderId="10" xfId="4" applyNumberFormat="1" applyFont="1" applyFill="1" applyBorder="1" applyAlignment="1" applyProtection="1">
      <alignment horizontal="right"/>
      <protection hidden="1"/>
    </xf>
    <xf numFmtId="166" fontId="28" fillId="3" borderId="0" xfId="4" applyNumberFormat="1" applyFont="1" applyFill="1" applyAlignment="1" applyProtection="1">
      <alignment horizontal="right" indent="1"/>
      <protection hidden="1"/>
    </xf>
    <xf numFmtId="166" fontId="28" fillId="3" borderId="7" xfId="4" applyNumberFormat="1" applyFont="1" applyFill="1" applyBorder="1" applyAlignment="1" applyProtection="1">
      <alignment horizontal="right" indent="1"/>
      <protection hidden="1"/>
    </xf>
    <xf numFmtId="166" fontId="29" fillId="3" borderId="8" xfId="4" applyNumberFormat="1" applyFont="1" applyFill="1" applyBorder="1" applyAlignment="1" applyProtection="1">
      <alignment horizontal="right" indent="1"/>
      <protection hidden="1"/>
    </xf>
    <xf numFmtId="0" fontId="21" fillId="0" borderId="49" xfId="0" applyFont="1" applyBorder="1" applyAlignment="1" applyProtection="1">
      <alignment horizontal="right" indent="1"/>
      <protection hidden="1"/>
    </xf>
    <xf numFmtId="166" fontId="15" fillId="3" borderId="12" xfId="4" applyNumberFormat="1" applyFont="1" applyFill="1" applyBorder="1" applyAlignment="1" applyProtection="1">
      <alignment horizontal="right" indent="1"/>
      <protection hidden="1"/>
    </xf>
    <xf numFmtId="0" fontId="21" fillId="0" borderId="0" xfId="0" applyFont="1" applyAlignment="1" applyProtection="1">
      <alignment horizontal="right" indent="1"/>
      <protection hidden="1"/>
    </xf>
    <xf numFmtId="166" fontId="10" fillId="3" borderId="0" xfId="4" applyNumberFormat="1" applyFont="1" applyFill="1" applyAlignment="1" applyProtection="1">
      <alignment horizontal="right" indent="1"/>
      <protection hidden="1"/>
    </xf>
    <xf numFmtId="167" fontId="21" fillId="3" borderId="0" xfId="0" applyNumberFormat="1" applyFont="1" applyFill="1" applyAlignment="1" applyProtection="1">
      <alignment horizontal="right" vertical="center" indent="1"/>
      <protection hidden="1"/>
    </xf>
    <xf numFmtId="166" fontId="29" fillId="3" borderId="2" xfId="4" applyNumberFormat="1" applyFont="1" applyFill="1" applyBorder="1" applyAlignment="1" applyProtection="1">
      <alignment horizontal="right" vertical="center" indent="1"/>
      <protection hidden="1"/>
    </xf>
    <xf numFmtId="166" fontId="28" fillId="3" borderId="64" xfId="4" applyNumberFormat="1" applyFont="1" applyFill="1" applyBorder="1" applyAlignment="1" applyProtection="1">
      <alignment horizontal="right" vertical="center" indent="1"/>
      <protection hidden="1"/>
    </xf>
    <xf numFmtId="166" fontId="15" fillId="3" borderId="0" xfId="4" applyNumberFormat="1" applyFont="1" applyFill="1" applyAlignment="1" applyProtection="1">
      <alignment horizontal="right" indent="1"/>
      <protection hidden="1"/>
    </xf>
    <xf numFmtId="164" fontId="15" fillId="3" borderId="0" xfId="1" applyNumberFormat="1" applyFont="1" applyFill="1" applyAlignment="1" applyProtection="1">
      <alignment horizontal="left"/>
      <protection hidden="1"/>
    </xf>
    <xf numFmtId="164" fontId="15" fillId="3" borderId="9" xfId="1" applyNumberFormat="1" applyFont="1" applyFill="1" applyBorder="1" applyAlignment="1" applyProtection="1">
      <alignment horizontal="center"/>
      <protection hidden="1"/>
    </xf>
    <xf numFmtId="0" fontId="16" fillId="3" borderId="0" xfId="8" applyFont="1" applyFill="1" applyAlignment="1" applyProtection="1">
      <alignment horizontal="left" vertical="center" indent="1"/>
      <protection hidden="1"/>
    </xf>
    <xf numFmtId="0" fontId="16" fillId="3" borderId="0" xfId="8" applyFont="1" applyFill="1" applyAlignment="1" applyProtection="1">
      <alignment horizontal="left" vertical="center"/>
      <protection hidden="1"/>
    </xf>
    <xf numFmtId="0" fontId="16" fillId="3" borderId="0" xfId="8" applyFont="1" applyFill="1" applyAlignment="1" applyProtection="1">
      <alignment horizontal="right" vertical="center" indent="1"/>
      <protection hidden="1"/>
    </xf>
    <xf numFmtId="0" fontId="21" fillId="0" borderId="61" xfId="0" applyFont="1" applyBorder="1" applyAlignment="1" applyProtection="1">
      <alignment vertical="center"/>
      <protection hidden="1"/>
    </xf>
    <xf numFmtId="172" fontId="3" fillId="3" borderId="0" xfId="0" applyNumberFormat="1" applyFont="1" applyFill="1" applyProtection="1">
      <protection hidden="1"/>
    </xf>
    <xf numFmtId="167" fontId="26" fillId="3" borderId="0" xfId="0" applyNumberFormat="1" applyFont="1" applyFill="1" applyAlignment="1" applyProtection="1">
      <alignment vertical="center"/>
      <protection hidden="1"/>
    </xf>
    <xf numFmtId="166" fontId="30" fillId="3" borderId="0" xfId="0" applyNumberFormat="1" applyFont="1" applyFill="1" applyAlignment="1" applyProtection="1">
      <alignment vertical="center"/>
      <protection hidden="1"/>
    </xf>
    <xf numFmtId="167" fontId="8" fillId="3" borderId="0" xfId="0" applyNumberFormat="1" applyFont="1" applyFill="1" applyAlignment="1" applyProtection="1">
      <alignment vertical="top"/>
      <protection hidden="1"/>
    </xf>
    <xf numFmtId="167" fontId="8" fillId="3" borderId="0" xfId="0" applyNumberFormat="1" applyFont="1" applyFill="1" applyAlignment="1" applyProtection="1">
      <alignment horizontal="left" indent="6"/>
      <protection hidden="1"/>
    </xf>
    <xf numFmtId="167" fontId="28" fillId="3" borderId="0" xfId="0" applyNumberFormat="1" applyFont="1" applyFill="1" applyAlignment="1" applyProtection="1">
      <alignment horizontal="left" vertical="center"/>
      <protection hidden="1"/>
    </xf>
    <xf numFmtId="167" fontId="26" fillId="3" borderId="0" xfId="0" applyNumberFormat="1" applyFont="1" applyFill="1" applyAlignment="1" applyProtection="1">
      <alignment horizontal="left" vertical="center"/>
      <protection hidden="1"/>
    </xf>
    <xf numFmtId="167" fontId="23" fillId="3" borderId="0" xfId="0" applyNumberFormat="1" applyFont="1" applyFill="1" applyAlignment="1" applyProtection="1">
      <alignment vertical="center"/>
      <protection hidden="1"/>
    </xf>
    <xf numFmtId="166" fontId="28" fillId="3" borderId="0" xfId="0" applyNumberFormat="1" applyFont="1" applyFill="1" applyAlignment="1" applyProtection="1">
      <alignment vertical="center"/>
      <protection hidden="1"/>
    </xf>
    <xf numFmtId="166" fontId="19" fillId="3" borderId="0" xfId="0" applyNumberFormat="1" applyFont="1" applyFill="1" applyProtection="1">
      <protection hidden="1"/>
    </xf>
    <xf numFmtId="167" fontId="20" fillId="3" borderId="0" xfId="0" applyNumberFormat="1" applyFont="1" applyFill="1" applyAlignment="1" applyProtection="1">
      <alignment horizontal="left" vertical="top"/>
      <protection hidden="1"/>
    </xf>
    <xf numFmtId="167" fontId="32" fillId="5" borderId="17" xfId="0" applyNumberFormat="1" applyFont="1" applyFill="1" applyBorder="1" applyAlignment="1" applyProtection="1">
      <alignment horizontal="center"/>
      <protection hidden="1"/>
    </xf>
    <xf numFmtId="167" fontId="12" fillId="3" borderId="0" xfId="0" applyNumberFormat="1" applyFont="1" applyFill="1" applyAlignment="1" applyProtection="1">
      <alignment horizontal="left"/>
      <protection hidden="1"/>
    </xf>
    <xf numFmtId="166" fontId="30" fillId="3" borderId="0" xfId="0" applyNumberFormat="1" applyFont="1" applyFill="1" applyProtection="1">
      <protection hidden="1"/>
    </xf>
    <xf numFmtId="166" fontId="75" fillId="3" borderId="0" xfId="0" applyNumberFormat="1" applyFont="1" applyFill="1" applyAlignment="1" applyProtection="1">
      <alignment horizontal="left"/>
      <protection hidden="1"/>
    </xf>
    <xf numFmtId="166" fontId="10" fillId="3" borderId="0" xfId="4" applyNumberFormat="1" applyFont="1" applyFill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vertical="center"/>
      <protection hidden="1"/>
    </xf>
    <xf numFmtId="173" fontId="15" fillId="3" borderId="0" xfId="10" applyNumberFormat="1" applyFont="1" applyFill="1" applyAlignment="1" applyProtection="1">
      <alignment vertical="center"/>
      <protection hidden="1"/>
    </xf>
    <xf numFmtId="166" fontId="16" fillId="6" borderId="51" xfId="4" applyNumberFormat="1" applyFont="1" applyFill="1" applyBorder="1" applyAlignment="1" applyProtection="1">
      <alignment horizontal="right" vertical="center"/>
      <protection hidden="1"/>
    </xf>
    <xf numFmtId="164" fontId="28" fillId="3" borderId="0" xfId="1" applyNumberFormat="1" applyFont="1" applyFill="1" applyBorder="1" applyAlignment="1" applyProtection="1">
      <protection hidden="1"/>
    </xf>
    <xf numFmtId="166" fontId="28" fillId="3" borderId="19" xfId="10" applyNumberFormat="1" applyFont="1" applyFill="1" applyBorder="1" applyProtection="1">
      <protection hidden="1"/>
    </xf>
    <xf numFmtId="166" fontId="28" fillId="3" borderId="64" xfId="10" applyNumberFormat="1" applyFont="1" applyFill="1" applyBorder="1" applyAlignment="1" applyProtection="1">
      <alignment horizontal="left" indent="1"/>
      <protection hidden="1"/>
    </xf>
    <xf numFmtId="167" fontId="28" fillId="3" borderId="64" xfId="10" applyNumberFormat="1" applyFont="1" applyFill="1" applyBorder="1" applyProtection="1">
      <protection hidden="1"/>
    </xf>
    <xf numFmtId="167" fontId="28" fillId="3" borderId="67" xfId="10" quotePrefix="1" applyNumberFormat="1" applyFont="1" applyFill="1" applyBorder="1" applyAlignment="1" applyProtection="1">
      <alignment horizontal="left" indent="1"/>
      <protection hidden="1"/>
    </xf>
    <xf numFmtId="167" fontId="28" fillId="3" borderId="67" xfId="4" applyNumberFormat="1" applyFont="1" applyFill="1" applyBorder="1" applyProtection="1">
      <protection hidden="1"/>
    </xf>
    <xf numFmtId="0" fontId="27" fillId="3" borderId="0" xfId="8" applyFont="1" applyFill="1" applyProtection="1">
      <protection hidden="1"/>
    </xf>
    <xf numFmtId="0" fontId="27" fillId="3" borderId="3" xfId="8" applyFont="1" applyFill="1" applyBorder="1" applyProtection="1">
      <protection hidden="1"/>
    </xf>
    <xf numFmtId="167" fontId="28" fillId="6" borderId="0" xfId="0" applyNumberFormat="1" applyFont="1" applyFill="1" applyAlignment="1" applyProtection="1">
      <alignment vertical="center"/>
      <protection hidden="1"/>
    </xf>
    <xf numFmtId="0" fontId="21" fillId="3" borderId="0" xfId="8" applyFont="1" applyFill="1" applyAlignment="1" applyProtection="1">
      <alignment vertical="center"/>
      <protection hidden="1"/>
    </xf>
    <xf numFmtId="167" fontId="28" fillId="6" borderId="7" xfId="0" applyNumberFormat="1" applyFont="1" applyFill="1" applyBorder="1" applyAlignment="1" applyProtection="1">
      <alignment vertical="center"/>
      <protection hidden="1"/>
    </xf>
    <xf numFmtId="167" fontId="28" fillId="3" borderId="7" xfId="0" applyNumberFormat="1" applyFont="1" applyFill="1" applyBorder="1" applyAlignment="1" applyProtection="1">
      <alignment vertical="center"/>
      <protection hidden="1"/>
    </xf>
    <xf numFmtId="167" fontId="28" fillId="3" borderId="7" xfId="0" applyNumberFormat="1" applyFont="1" applyFill="1" applyBorder="1" applyAlignment="1" applyProtection="1">
      <alignment horizontal="left" vertical="center"/>
      <protection hidden="1"/>
    </xf>
    <xf numFmtId="167" fontId="28" fillId="6" borderId="8" xfId="0" applyNumberFormat="1" applyFont="1" applyFill="1" applyBorder="1" applyAlignment="1" applyProtection="1">
      <alignment vertical="center"/>
      <protection hidden="1"/>
    </xf>
    <xf numFmtId="167" fontId="28" fillId="3" borderId="8" xfId="0" applyNumberFormat="1" applyFont="1" applyFill="1" applyBorder="1" applyAlignment="1" applyProtection="1">
      <alignment vertical="center"/>
      <protection hidden="1"/>
    </xf>
    <xf numFmtId="167" fontId="28" fillId="3" borderId="8" xfId="0" applyNumberFormat="1" applyFont="1" applyFill="1" applyBorder="1" applyAlignment="1" applyProtection="1">
      <alignment horizontal="left" vertical="center"/>
      <protection hidden="1"/>
    </xf>
    <xf numFmtId="167" fontId="21" fillId="3" borderId="0" xfId="0" applyNumberFormat="1" applyFont="1" applyFill="1" applyAlignment="1" applyProtection="1">
      <alignment vertical="center"/>
      <protection hidden="1"/>
    </xf>
    <xf numFmtId="167" fontId="28" fillId="3" borderId="0" xfId="0" applyNumberFormat="1" applyFont="1" applyFill="1" applyAlignment="1" applyProtection="1">
      <alignment horizontal="left"/>
      <protection hidden="1"/>
    </xf>
    <xf numFmtId="167" fontId="28" fillId="6" borderId="0" xfId="0" applyNumberFormat="1" applyFont="1" applyFill="1" applyAlignment="1" applyProtection="1">
      <alignment horizontal="left" vertical="center"/>
      <protection hidden="1"/>
    </xf>
    <xf numFmtId="167" fontId="21" fillId="3" borderId="0" xfId="0" applyNumberFormat="1" applyFont="1" applyFill="1" applyProtection="1">
      <protection hidden="1"/>
    </xf>
    <xf numFmtId="167" fontId="21" fillId="3" borderId="0" xfId="0" applyNumberFormat="1" applyFont="1" applyFill="1" applyAlignment="1" applyProtection="1">
      <alignment horizontal="left"/>
      <protection hidden="1"/>
    </xf>
    <xf numFmtId="167" fontId="21" fillId="3" borderId="0" xfId="0" applyNumberFormat="1" applyFont="1" applyFill="1" applyAlignment="1" applyProtection="1">
      <alignment horizontal="center"/>
      <protection hidden="1"/>
    </xf>
    <xf numFmtId="0" fontId="68" fillId="3" borderId="0" xfId="0" applyFont="1" applyFill="1" applyProtection="1">
      <protection hidden="1"/>
    </xf>
    <xf numFmtId="0" fontId="38" fillId="3" borderId="2" xfId="8" applyFont="1" applyFill="1" applyBorder="1" applyAlignment="1" applyProtection="1">
      <alignment horizontal="center"/>
      <protection hidden="1"/>
    </xf>
    <xf numFmtId="0" fontId="38" fillId="3" borderId="3" xfId="8" applyFont="1" applyFill="1" applyBorder="1" applyAlignment="1" applyProtection="1">
      <alignment horizontal="center"/>
      <protection hidden="1"/>
    </xf>
    <xf numFmtId="166" fontId="37" fillId="3" borderId="3" xfId="1" applyNumberFormat="1" applyFont="1" applyFill="1" applyBorder="1" applyAlignment="1" applyProtection="1">
      <alignment horizontal="center" vertical="center"/>
      <protection hidden="1"/>
    </xf>
    <xf numFmtId="0" fontId="38" fillId="3" borderId="3" xfId="0" applyFont="1" applyFill="1" applyBorder="1" applyAlignment="1" applyProtection="1">
      <alignment horizontal="center" vertical="center"/>
      <protection hidden="1"/>
    </xf>
    <xf numFmtId="166" fontId="37" fillId="3" borderId="0" xfId="1" applyNumberFormat="1" applyFont="1" applyFill="1" applyBorder="1" applyAlignment="1" applyProtection="1">
      <alignment horizontal="center"/>
      <protection hidden="1"/>
    </xf>
    <xf numFmtId="166" fontId="37" fillId="3" borderId="3" xfId="1" applyNumberFormat="1" applyFont="1" applyFill="1" applyBorder="1" applyAlignment="1" applyProtection="1">
      <alignment horizontal="center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0" borderId="0" xfId="0" applyAlignment="1" applyProtection="1">
      <alignment horizontal="left" indent="1"/>
      <protection hidden="1"/>
    </xf>
    <xf numFmtId="0" fontId="37" fillId="3" borderId="3" xfId="8" applyFont="1" applyFill="1" applyBorder="1" applyAlignment="1" applyProtection="1">
      <alignment horizontal="center" vertical="center"/>
      <protection hidden="1"/>
    </xf>
    <xf numFmtId="166" fontId="37" fillId="3" borderId="3" xfId="4" applyNumberFormat="1" applyFont="1" applyFill="1" applyBorder="1" applyAlignment="1" applyProtection="1">
      <alignment horizontal="center" vertical="center"/>
      <protection hidden="1"/>
    </xf>
    <xf numFmtId="166" fontId="38" fillId="3" borderId="3" xfId="4" applyNumberFormat="1" applyFont="1" applyFill="1" applyBorder="1" applyAlignment="1" applyProtection="1">
      <alignment horizontal="center" vertical="center"/>
      <protection hidden="1"/>
    </xf>
    <xf numFmtId="166" fontId="21" fillId="3" borderId="66" xfId="0" applyNumberFormat="1" applyFont="1" applyFill="1" applyBorder="1" applyAlignment="1" applyProtection="1">
      <alignment horizontal="right"/>
      <protection hidden="1"/>
    </xf>
    <xf numFmtId="166" fontId="21" fillId="3" borderId="10" xfId="0" applyNumberFormat="1" applyFont="1" applyFill="1" applyBorder="1" applyAlignment="1" applyProtection="1">
      <alignment horizontal="right"/>
      <protection hidden="1"/>
    </xf>
    <xf numFmtId="166" fontId="21" fillId="3" borderId="15" xfId="0" applyNumberFormat="1" applyFont="1" applyFill="1" applyBorder="1" applyAlignment="1" applyProtection="1">
      <alignment horizontal="right"/>
      <protection hidden="1"/>
    </xf>
    <xf numFmtId="0" fontId="38" fillId="3" borderId="12" xfId="8" applyFont="1" applyFill="1" applyBorder="1" applyAlignment="1" applyProtection="1">
      <alignment horizontal="center"/>
      <protection hidden="1"/>
    </xf>
    <xf numFmtId="0" fontId="37" fillId="3" borderId="3" xfId="0" applyFont="1" applyFill="1" applyBorder="1" applyAlignment="1" applyProtection="1">
      <alignment horizontal="center" vertical="center"/>
      <protection hidden="1"/>
    </xf>
    <xf numFmtId="166" fontId="16" fillId="3" borderId="0" xfId="4" applyNumberFormat="1" applyFont="1" applyFill="1" applyAlignment="1" applyProtection="1">
      <alignment horizontal="right"/>
      <protection hidden="1"/>
    </xf>
    <xf numFmtId="166" fontId="21" fillId="3" borderId="9" xfId="0" applyNumberFormat="1" applyFont="1" applyFill="1" applyBorder="1" applyAlignment="1" applyProtection="1">
      <alignment horizontal="right"/>
      <protection hidden="1"/>
    </xf>
    <xf numFmtId="166" fontId="51" fillId="3" borderId="0" xfId="4" applyNumberFormat="1" applyFont="1" applyFill="1" applyAlignment="1" applyProtection="1">
      <alignment horizontal="left" vertical="top"/>
      <protection hidden="1"/>
    </xf>
    <xf numFmtId="0" fontId="28" fillId="3" borderId="0" xfId="8" applyFont="1" applyFill="1" applyAlignment="1" applyProtection="1">
      <alignment horizontal="left"/>
      <protection hidden="1"/>
    </xf>
    <xf numFmtId="166" fontId="15" fillId="3" borderId="0" xfId="4" applyNumberFormat="1" applyFont="1" applyFill="1" applyAlignment="1" applyProtection="1">
      <alignment horizontal="left"/>
      <protection hidden="1"/>
    </xf>
    <xf numFmtId="166" fontId="28" fillId="3" borderId="0" xfId="4" applyNumberFormat="1" applyFont="1" applyFill="1" applyAlignment="1" applyProtection="1">
      <alignment horizontal="left" indent="1"/>
      <protection hidden="1"/>
    </xf>
    <xf numFmtId="166" fontId="28" fillId="3" borderId="0" xfId="4" applyNumberFormat="1" applyFont="1" applyFill="1" applyAlignment="1" applyProtection="1">
      <alignment horizontal="right"/>
      <protection hidden="1"/>
    </xf>
    <xf numFmtId="166" fontId="28" fillId="3" borderId="2" xfId="4" applyNumberFormat="1" applyFont="1" applyFill="1" applyBorder="1" applyAlignment="1" applyProtection="1">
      <alignment horizontal="left" indent="1"/>
      <protection hidden="1"/>
    </xf>
    <xf numFmtId="165" fontId="28" fillId="3" borderId="2" xfId="4" applyNumberFormat="1" applyFont="1" applyFill="1" applyBorder="1" applyAlignment="1" applyProtection="1">
      <alignment horizontal="right"/>
      <protection hidden="1"/>
    </xf>
    <xf numFmtId="166" fontId="15" fillId="3" borderId="0" xfId="4" applyNumberFormat="1" applyFont="1" applyFill="1" applyAlignment="1" applyProtection="1">
      <alignment horizontal="left" vertical="center"/>
      <protection hidden="1"/>
    </xf>
    <xf numFmtId="0" fontId="28" fillId="3" borderId="0" xfId="8" applyFont="1" applyFill="1" applyAlignment="1" applyProtection="1">
      <alignment horizontal="left" vertical="center"/>
      <protection hidden="1"/>
    </xf>
    <xf numFmtId="173" fontId="16" fillId="3" borderId="0" xfId="10" applyNumberFormat="1" applyFont="1" applyFill="1" applyAlignment="1" applyProtection="1">
      <alignment horizontal="right"/>
      <protection hidden="1"/>
    </xf>
    <xf numFmtId="166" fontId="28" fillId="4" borderId="20" xfId="4" applyNumberFormat="1" applyFont="1" applyFill="1" applyBorder="1" applyAlignment="1" applyProtection="1">
      <alignment horizontal="center"/>
      <protection hidden="1"/>
    </xf>
    <xf numFmtId="164" fontId="28" fillId="4" borderId="30" xfId="1" applyNumberFormat="1" applyFont="1" applyFill="1" applyBorder="1" applyAlignment="1" applyProtection="1">
      <alignment horizontal="center"/>
      <protection hidden="1"/>
    </xf>
    <xf numFmtId="166" fontId="28" fillId="4" borderId="4" xfId="4" applyNumberFormat="1" applyFont="1" applyFill="1" applyBorder="1" applyAlignment="1" applyProtection="1">
      <alignment horizontal="center"/>
      <protection hidden="1"/>
    </xf>
    <xf numFmtId="166" fontId="28" fillId="4" borderId="4" xfId="2" applyNumberFormat="1" applyFont="1" applyFill="1" applyBorder="1" applyAlignment="1" applyProtection="1">
      <alignment horizontal="center"/>
      <protection hidden="1"/>
    </xf>
    <xf numFmtId="166" fontId="28" fillId="4" borderId="29" xfId="2" applyNumberFormat="1" applyFont="1" applyFill="1" applyBorder="1" applyAlignment="1" applyProtection="1">
      <alignment horizontal="center"/>
      <protection hidden="1"/>
    </xf>
    <xf numFmtId="166" fontId="28" fillId="4" borderId="47" xfId="2" applyNumberFormat="1" applyFont="1" applyFill="1" applyBorder="1" applyAlignment="1" applyProtection="1">
      <alignment horizontal="center"/>
      <protection hidden="1"/>
    </xf>
    <xf numFmtId="166" fontId="28" fillId="4" borderId="21" xfId="4" applyNumberFormat="1" applyFont="1" applyFill="1" applyBorder="1" applyAlignment="1" applyProtection="1">
      <alignment horizontal="center"/>
      <protection hidden="1"/>
    </xf>
    <xf numFmtId="164" fontId="28" fillId="4" borderId="31" xfId="1" applyNumberFormat="1" applyFont="1" applyFill="1" applyBorder="1" applyAlignment="1" applyProtection="1">
      <alignment horizontal="center"/>
      <protection hidden="1"/>
    </xf>
    <xf numFmtId="164" fontId="28" fillId="4" borderId="5" xfId="1" applyNumberFormat="1" applyFont="1" applyFill="1" applyBorder="1" applyAlignment="1" applyProtection="1">
      <alignment horizontal="center"/>
      <protection hidden="1"/>
    </xf>
    <xf numFmtId="166" fontId="28" fillId="4" borderId="5" xfId="4" applyNumberFormat="1" applyFont="1" applyFill="1" applyBorder="1" applyAlignment="1" applyProtection="1">
      <alignment horizontal="center"/>
      <protection hidden="1"/>
    </xf>
    <xf numFmtId="166" fontId="28" fillId="4" borderId="18" xfId="2" applyNumberFormat="1" applyFont="1" applyFill="1" applyBorder="1" applyAlignment="1" applyProtection="1">
      <alignment horizontal="center"/>
      <protection hidden="1"/>
    </xf>
    <xf numFmtId="166" fontId="28" fillId="4" borderId="37" xfId="2" applyNumberFormat="1" applyFont="1" applyFill="1" applyBorder="1" applyAlignment="1" applyProtection="1">
      <alignment horizontal="center"/>
      <protection hidden="1"/>
    </xf>
    <xf numFmtId="166" fontId="28" fillId="4" borderId="2" xfId="2" applyNumberFormat="1" applyFont="1" applyFill="1" applyBorder="1" applyAlignment="1" applyProtection="1">
      <alignment horizontal="center"/>
      <protection hidden="1"/>
    </xf>
    <xf numFmtId="166" fontId="28" fillId="4" borderId="24" xfId="4" applyNumberFormat="1" applyFont="1" applyFill="1" applyBorder="1" applyAlignment="1" applyProtection="1">
      <alignment horizontal="center"/>
      <protection hidden="1"/>
    </xf>
    <xf numFmtId="164" fontId="28" fillId="4" borderId="6" xfId="1" applyNumberFormat="1" applyFont="1" applyFill="1" applyBorder="1" applyAlignment="1" applyProtection="1">
      <alignment horizontal="center"/>
      <protection hidden="1"/>
    </xf>
    <xf numFmtId="166" fontId="28" fillId="4" borderId="6" xfId="4" applyNumberFormat="1" applyFont="1" applyFill="1" applyBorder="1" applyAlignment="1" applyProtection="1">
      <alignment horizontal="center"/>
      <protection hidden="1"/>
    </xf>
    <xf numFmtId="166" fontId="28" fillId="4" borderId="23" xfId="2" applyNumberFormat="1" applyFont="1" applyFill="1" applyBorder="1" applyAlignment="1" applyProtection="1">
      <alignment horizontal="center"/>
      <protection hidden="1"/>
    </xf>
    <xf numFmtId="166" fontId="28" fillId="4" borderId="45" xfId="2" applyNumberFormat="1" applyFont="1" applyFill="1" applyBorder="1" applyAlignment="1" applyProtection="1">
      <alignment horizontal="center"/>
      <protection hidden="1"/>
    </xf>
    <xf numFmtId="166" fontId="28" fillId="4" borderId="26" xfId="4" applyNumberFormat="1" applyFont="1" applyFill="1" applyBorder="1" applyAlignment="1" applyProtection="1">
      <alignment horizontal="center"/>
      <protection hidden="1"/>
    </xf>
    <xf numFmtId="164" fontId="28" fillId="4" borderId="21" xfId="1" applyNumberFormat="1" applyFont="1" applyFill="1" applyBorder="1" applyAlignment="1" applyProtection="1">
      <alignment horizontal="center"/>
      <protection hidden="1"/>
    </xf>
    <xf numFmtId="164" fontId="28" fillId="4" borderId="4" xfId="1" applyNumberFormat="1" applyFont="1" applyFill="1" applyBorder="1" applyAlignment="1" applyProtection="1">
      <alignment horizontal="center" vertical="center"/>
      <protection hidden="1"/>
    </xf>
    <xf numFmtId="168" fontId="28" fillId="4" borderId="5" xfId="2" applyNumberFormat="1" applyFont="1" applyFill="1" applyBorder="1" applyAlignment="1" applyProtection="1">
      <alignment horizontal="center" vertical="center"/>
      <protection hidden="1"/>
    </xf>
    <xf numFmtId="166" fontId="28" fillId="4" borderId="23" xfId="2" applyNumberFormat="1" applyFont="1" applyFill="1" applyBorder="1" applyAlignment="1" applyProtection="1">
      <alignment horizontal="center" vertical="center"/>
      <protection hidden="1"/>
    </xf>
    <xf numFmtId="166" fontId="28" fillId="4" borderId="28" xfId="2" applyNumberFormat="1" applyFont="1" applyFill="1" applyBorder="1" applyAlignment="1" applyProtection="1">
      <alignment horizontal="center" vertical="center"/>
      <protection hidden="1"/>
    </xf>
    <xf numFmtId="164" fontId="28" fillId="4" borderId="5" xfId="1" applyNumberFormat="1" applyFont="1" applyFill="1" applyBorder="1" applyAlignment="1" applyProtection="1">
      <alignment horizontal="center" vertical="center"/>
      <protection hidden="1"/>
    </xf>
    <xf numFmtId="9" fontId="28" fillId="4" borderId="18" xfId="1" applyFont="1" applyFill="1" applyBorder="1" applyAlignment="1" applyProtection="1">
      <alignment horizontal="center" vertical="center"/>
      <protection hidden="1"/>
    </xf>
    <xf numFmtId="166" fontId="28" fillId="4" borderId="27" xfId="4" applyNumberFormat="1" applyFont="1" applyFill="1" applyBorder="1" applyAlignment="1" applyProtection="1">
      <alignment horizontal="center"/>
      <protection hidden="1"/>
    </xf>
    <xf numFmtId="164" fontId="28" fillId="4" borderId="24" xfId="1" applyNumberFormat="1" applyFont="1" applyFill="1" applyBorder="1" applyAlignment="1" applyProtection="1">
      <alignment horizontal="center"/>
      <protection hidden="1"/>
    </xf>
    <xf numFmtId="166" fontId="28" fillId="4" borderId="32" xfId="2" applyNumberFormat="1" applyFont="1" applyFill="1" applyBorder="1" applyAlignment="1" applyProtection="1">
      <alignment horizontal="center"/>
      <protection hidden="1"/>
    </xf>
    <xf numFmtId="166" fontId="28" fillId="4" borderId="19" xfId="2" applyNumberFormat="1" applyFont="1" applyFill="1" applyBorder="1" applyAlignment="1" applyProtection="1">
      <alignment horizontal="center"/>
      <protection hidden="1"/>
    </xf>
    <xf numFmtId="9" fontId="28" fillId="4" borderId="4" xfId="1" applyFont="1" applyFill="1" applyBorder="1" applyAlignment="1" applyProtection="1">
      <alignment horizontal="center"/>
      <protection hidden="1"/>
    </xf>
    <xf numFmtId="9" fontId="28" fillId="4" borderId="5" xfId="1" applyFont="1" applyFill="1" applyBorder="1" applyAlignment="1" applyProtection="1">
      <alignment horizontal="center"/>
      <protection hidden="1"/>
    </xf>
    <xf numFmtId="9" fontId="28" fillId="4" borderId="7" xfId="1" applyFont="1" applyFill="1" applyBorder="1" applyAlignment="1" applyProtection="1">
      <alignment horizontal="center"/>
      <protection hidden="1"/>
    </xf>
    <xf numFmtId="9" fontId="28" fillId="4" borderId="6" xfId="1" applyFont="1" applyFill="1" applyBorder="1" applyAlignment="1" applyProtection="1">
      <alignment horizontal="center"/>
      <protection hidden="1"/>
    </xf>
    <xf numFmtId="170" fontId="28" fillId="4" borderId="4" xfId="2" applyNumberFormat="1" applyFont="1" applyFill="1" applyBorder="1" applyAlignment="1" applyProtection="1">
      <alignment horizontal="center"/>
      <protection hidden="1"/>
    </xf>
    <xf numFmtId="166" fontId="28" fillId="4" borderId="6" xfId="0" applyNumberFormat="1" applyFont="1" applyFill="1" applyBorder="1" applyAlignment="1" applyProtection="1">
      <alignment horizontal="center"/>
      <protection hidden="1"/>
    </xf>
    <xf numFmtId="170" fontId="28" fillId="4" borderId="18" xfId="2" applyNumberFormat="1" applyFont="1" applyFill="1" applyBorder="1" applyAlignment="1" applyProtection="1">
      <alignment horizontal="center"/>
      <protection hidden="1"/>
    </xf>
    <xf numFmtId="171" fontId="29" fillId="4" borderId="6" xfId="4" applyNumberFormat="1" applyFont="1" applyFill="1" applyBorder="1" applyAlignment="1" applyProtection="1">
      <alignment horizontal="center"/>
      <protection hidden="1"/>
    </xf>
    <xf numFmtId="9" fontId="28" fillId="4" borderId="23" xfId="1" applyFont="1" applyFill="1" applyBorder="1" applyAlignment="1" applyProtection="1">
      <alignment horizontal="center"/>
      <protection hidden="1"/>
    </xf>
    <xf numFmtId="165" fontId="28" fillId="4" borderId="6" xfId="4" applyNumberFormat="1" applyFont="1" applyFill="1" applyBorder="1" applyAlignment="1" applyProtection="1">
      <alignment horizontal="center"/>
      <protection hidden="1"/>
    </xf>
    <xf numFmtId="0" fontId="22" fillId="0" borderId="0" xfId="8" applyFont="1" applyFill="1" applyProtection="1">
      <protection locked="0" hidden="1"/>
    </xf>
    <xf numFmtId="166" fontId="15" fillId="8" borderId="4" xfId="4" applyNumberFormat="1" applyFont="1" applyFill="1" applyBorder="1" applyAlignment="1" applyProtection="1">
      <alignment horizontal="center"/>
      <protection locked="0" hidden="1"/>
    </xf>
    <xf numFmtId="164" fontId="15" fillId="8" borderId="4" xfId="1" applyNumberFormat="1" applyFont="1" applyFill="1" applyBorder="1" applyAlignment="1" applyProtection="1">
      <alignment horizontal="center"/>
      <protection locked="0" hidden="1"/>
    </xf>
    <xf numFmtId="164" fontId="15" fillId="8" borderId="6" xfId="1" applyNumberFormat="1" applyFont="1" applyFill="1" applyBorder="1" applyAlignment="1" applyProtection="1">
      <alignment horizontal="center" vertical="center"/>
      <protection locked="0" hidden="1"/>
    </xf>
    <xf numFmtId="165" fontId="15" fillId="8" borderId="23" xfId="2" applyNumberFormat="1" applyFont="1" applyFill="1" applyBorder="1" applyAlignment="1" applyProtection="1">
      <alignment horizontal="center"/>
      <protection locked="0" hidden="1"/>
    </xf>
    <xf numFmtId="164" fontId="15" fillId="8" borderId="20" xfId="1" applyNumberFormat="1" applyFont="1" applyFill="1" applyBorder="1" applyAlignment="1" applyProtection="1">
      <alignment horizontal="center"/>
      <protection locked="0" hidden="1"/>
    </xf>
    <xf numFmtId="166" fontId="15" fillId="8" borderId="25" xfId="4" applyNumberFormat="1" applyFont="1" applyFill="1" applyBorder="1" applyAlignment="1" applyProtection="1">
      <alignment horizontal="center"/>
      <protection locked="0" hidden="1"/>
    </xf>
    <xf numFmtId="166" fontId="15" fillId="8" borderId="4" xfId="0" applyNumberFormat="1" applyFont="1" applyFill="1" applyBorder="1" applyAlignment="1" applyProtection="1">
      <alignment horizontal="center"/>
      <protection locked="0" hidden="1"/>
    </xf>
    <xf numFmtId="166" fontId="15" fillId="8" borderId="4" xfId="2" applyNumberFormat="1" applyFont="1" applyFill="1" applyBorder="1" applyAlignment="1" applyProtection="1">
      <alignment horizontal="center"/>
      <protection locked="0" hidden="1"/>
    </xf>
    <xf numFmtId="166" fontId="15" fillId="8" borderId="23" xfId="2" applyNumberFormat="1" applyFont="1" applyFill="1" applyBorder="1" applyAlignment="1" applyProtection="1">
      <alignment horizontal="center"/>
      <protection locked="0" hidden="1"/>
    </xf>
    <xf numFmtId="166" fontId="15" fillId="8" borderId="23" xfId="2" applyNumberFormat="1" applyFont="1" applyFill="1" applyBorder="1" applyAlignment="1" applyProtection="1">
      <alignment horizontal="center" vertical="center"/>
      <protection locked="0" hidden="1"/>
    </xf>
    <xf numFmtId="166" fontId="15" fillId="8" borderId="32" xfId="2" applyNumberFormat="1" applyFont="1" applyFill="1" applyBorder="1" applyAlignment="1" applyProtection="1">
      <alignment horizontal="center"/>
      <protection locked="0" hidden="1"/>
    </xf>
    <xf numFmtId="0" fontId="4" fillId="0" borderId="0" xfId="0" applyFont="1" applyProtection="1">
      <protection locked="0" hidden="1"/>
    </xf>
    <xf numFmtId="0" fontId="25" fillId="8" borderId="0" xfId="8" applyFont="1" applyFill="1" applyAlignment="1" applyProtection="1">
      <alignment vertical="center"/>
      <protection hidden="1"/>
    </xf>
  </cellXfs>
  <cellStyles count="16">
    <cellStyle name="Comma 2" xfId="5" xr:uid="{6CB0BA34-2EE7-40D2-A168-3402D595ECE8}"/>
    <cellStyle name="Comma 2 2" xfId="14" xr:uid="{DAB99920-7024-4F25-92F2-C0795506F1B3}"/>
    <cellStyle name="Currency 2" xfId="6" xr:uid="{80500B2E-ED9A-4F69-A1EC-9BA772C30888}"/>
    <cellStyle name="Input" xfId="2" builtinId="20"/>
    <cellStyle name="Normal" xfId="0" builtinId="0"/>
    <cellStyle name="Normal 2" xfId="3" xr:uid="{8F13FAC1-9BDD-485D-B40C-05636A5AFA96}"/>
    <cellStyle name="Normal 2 2" xfId="8" xr:uid="{CDF791C8-D17C-4F3E-A59E-3BA47648437D}"/>
    <cellStyle name="Normal 2 2 2" xfId="11" xr:uid="{F933EFE7-F81E-44EC-BB8F-EC45C035FCF8}"/>
    <cellStyle name="Normal 2 2 3" xfId="10" xr:uid="{73EBF1A9-5CB4-4B78-9EA9-D2CB00F75D55}"/>
    <cellStyle name="Normal 3" xfId="15" xr:uid="{A34D6F6D-01CF-4A59-B4EF-898718BDF47A}"/>
    <cellStyle name="Normal 3 2" xfId="12" xr:uid="{10C3D2E7-D77D-4663-8E59-13B9A391A431}"/>
    <cellStyle name="Normal_Share Count Analysis" xfId="4" xr:uid="{57373F44-4A08-440B-91F8-0E6F56BCDECE}"/>
    <cellStyle name="Percent" xfId="1" builtinId="5"/>
    <cellStyle name="Percent 2" xfId="7" xr:uid="{EEB0FFF2-9F0D-430C-BAA0-D1FCBA0B22F6}"/>
    <cellStyle name="Percent 2 2" xfId="9" xr:uid="{75F52E83-C886-45FD-91EC-A72826112B3B}"/>
    <cellStyle name="Percent 3" xfId="13" xr:uid="{CC2C2290-2262-496B-BC5B-67A657C10504}"/>
  </cellStyles>
  <dxfs count="0"/>
  <tableStyles count="0" defaultTableStyle="TableStyleMedium2" defaultPivotStyle="PivotStyleLight16"/>
  <colors>
    <mruColors>
      <color rgb="FFF3F5F7"/>
      <color rgb="FF008000"/>
      <color rgb="FF339933"/>
      <color rgb="FF007400"/>
      <color rgb="FF3333FF"/>
      <color rgb="FF275EE9"/>
      <color rgb="FF0303FF"/>
      <color rgb="FF0066CC"/>
      <color rgb="FF005EBC"/>
      <color rgb="FF006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1.9790680133610839E-2"/>
          <c:w val="1"/>
          <c:h val="0.971361713349174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20000"/>
                <a:lumOff val="80000"/>
              </a:schemeClr>
            </a:solidFill>
            <a:ln w="0">
              <a:solidFill>
                <a:schemeClr val="tx1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C8-4DFB-9AE7-36E518528AF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7C8-4DFB-9AE7-36E518528AF7}"/>
              </c:ext>
            </c:extLst>
          </c:dPt>
          <c:dLbls>
            <c:dLbl>
              <c:idx val="0"/>
              <c:tx>
                <c:rich>
                  <a:bodyPr rot="0" spcFirstLastPara="1" vertOverflow="clip" horzOverflow="clip" vert="horz" wrap="none" lIns="0" tIns="0" rIns="0" bIns="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CE8AEF-D04E-4EF9-9FD0-35CA77D2E6D8}" type="CELLRANGE">
                      <a:rPr lang="en-US"/>
                      <a:pPr>
                        <a:defRPr/>
                      </a:pPr>
                      <a:t>[CELLRANGE]</a:t>
                    </a:fld>
                    <a:endParaRPr lang="en-US" baseline="0"/>
                  </a:p>
                  <a:p>
                    <a:pPr>
                      <a:defRPr/>
                    </a:pPr>
                    <a:fld id="{186B40BD-1BCC-4BEA-A470-E46C7A163E79}" type="VALUE">
                      <a:rPr lang="en-US"/>
                      <a:pPr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7C8-4DFB-9AE7-36E518528AF7}"/>
                </c:ext>
              </c:extLst>
            </c:dLbl>
            <c:dLbl>
              <c:idx val="1"/>
              <c:tx>
                <c:rich>
                  <a:bodyPr rot="0" spcFirstLastPara="1" vertOverflow="clip" horzOverflow="clip" vert="horz" wrap="none" lIns="0" tIns="0" rIns="0" bIns="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7D251AC-0B0B-4A71-B0AC-F73399EBB755}" type="CELLRANGE">
                      <a:rPr lang="en-US"/>
                      <a:pPr>
                        <a:defRPr/>
                      </a:pPr>
                      <a:t>[CELLRANGE]</a:t>
                    </a:fld>
                    <a:endParaRPr lang="en-US" baseline="0"/>
                  </a:p>
                  <a:p>
                    <a:pPr>
                      <a:defRPr/>
                    </a:pPr>
                    <a:fld id="{A135772E-603C-4B6B-B252-40A109F7E51C}" type="VALUE">
                      <a:rPr lang="en-US"/>
                      <a:pPr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7C8-4DFB-9AE7-36E518528AF7}"/>
                </c:ext>
              </c:extLst>
            </c:dLbl>
            <c:dLbl>
              <c:idx val="2"/>
              <c:tx>
                <c:rich>
                  <a:bodyPr rot="0" spcFirstLastPara="1" vertOverflow="clip" horzOverflow="clip" vert="horz" wrap="none" lIns="0" tIns="0" rIns="0" bIns="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44FDD0C-C713-4E87-856C-CEB8762743EC}" type="CELLRANGE">
                      <a:rPr lang="en-US"/>
                      <a:pPr>
                        <a:defRPr/>
                      </a:pPr>
                      <a:t>[CELLRANGE]</a:t>
                    </a:fld>
                    <a:endParaRPr lang="en-US" baseline="0"/>
                  </a:p>
                  <a:p>
                    <a:pPr>
                      <a:defRPr/>
                    </a:pPr>
                    <a:fld id="{52731F6F-8FE1-4AF2-A761-00C93185A33D}" type="VALUE">
                      <a:rPr lang="en-US"/>
                      <a:pPr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7C8-4DFB-9AE7-36E518528AF7}"/>
                </c:ext>
              </c:extLst>
            </c:dLbl>
            <c:dLbl>
              <c:idx val="3"/>
              <c:tx>
                <c:rich>
                  <a:bodyPr rot="0" spcFirstLastPara="1" vertOverflow="clip" horzOverflow="clip" vert="horz" wrap="none" lIns="0" tIns="0" rIns="0" bIns="0" anchor="ctr" anchorCtr="0">
                    <a:no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F41CAF8-4B1E-4183-9AE1-DD9D7EB6D112}" type="CELLRANGE">
                      <a:rPr lang="en-US"/>
                      <a:pPr algn="ctr">
                        <a:defRPr/>
                      </a:pPr>
                      <a:t>[CELLRANGE]</a:t>
                    </a:fld>
                    <a:endParaRPr lang="en-US" baseline="0"/>
                  </a:p>
                  <a:p>
                    <a:pPr algn="ctr">
                      <a:defRPr/>
                    </a:pPr>
                    <a:fld id="{F1DF069B-2BFF-49FB-9F39-A3A6E161F436}" type="VALUE">
                      <a:rPr lang="en-US"/>
                      <a:pPr algn="ctr"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no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65344249684836"/>
                      <c:h val="0.191180092449044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7C8-4DFB-9AE7-36E518528A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402336" bIns="0" anchor="ctr" anchorCtr="1">
                <a:no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Approach!$F$25:$F$28</c:f>
              <c:strCache>
                <c:ptCount val="4"/>
                <c:pt idx="0">
                  <c:v>Post-Money</c:v>
                </c:pt>
                <c:pt idx="1">
                  <c:v>Market Value</c:v>
                </c:pt>
                <c:pt idx="2">
                  <c:v>Industry Multiple</c:v>
                </c:pt>
                <c:pt idx="3">
                  <c:v>Discounted Cash Flow</c:v>
                </c:pt>
              </c:strCache>
            </c:strRef>
          </c:cat>
          <c:val>
            <c:numRef>
              <c:f>Approach!$H$25:$H$28</c:f>
              <c:numCache>
                <c:formatCode>#,##0;[Red]\-#,##0</c:formatCode>
                <c:ptCount val="4"/>
                <c:pt idx="0">
                  <c:v>859.06735706795018</c:v>
                </c:pt>
                <c:pt idx="1">
                  <c:v>922.68069444444427</c:v>
                </c:pt>
                <c:pt idx="2">
                  <c:v>3137.7551020408164</c:v>
                </c:pt>
                <c:pt idx="3">
                  <c:v>699.2975005974755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Approach!$G$25:$G$28</c15:f>
                <c15:dlblRangeCache>
                  <c:ptCount val="4"/>
                  <c:pt idx="0">
                    <c:v>Common-equiv.</c:v>
                  </c:pt>
                  <c:pt idx="1">
                    <c:v>Market cap</c:v>
                  </c:pt>
                  <c:pt idx="2">
                    <c:v>EV/EBITDA</c:v>
                  </c:pt>
                  <c:pt idx="3">
                    <c:v>DCF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7C8-4DFB-9AE7-36E518528AF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Approach!$F$25:$F$28</c:f>
              <c:strCache>
                <c:ptCount val="4"/>
                <c:pt idx="0">
                  <c:v>Post-Money</c:v>
                </c:pt>
                <c:pt idx="1">
                  <c:v>Market Value</c:v>
                </c:pt>
                <c:pt idx="2">
                  <c:v>Industry Multiple</c:v>
                </c:pt>
                <c:pt idx="3">
                  <c:v>Discounted Cash Flow</c:v>
                </c:pt>
              </c:strCache>
            </c:strRef>
          </c:cat>
          <c:val>
            <c:numRef>
              <c:f>Approach!$I$25:$I$28</c:f>
              <c:numCache>
                <c:formatCode>#,##0;[Red]#,##0</c:formatCode>
                <c:ptCount val="4"/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8-4DFB-9AE7-36E518528AF7}"/>
            </c:ext>
          </c:extLst>
        </c:ser>
        <c:ser>
          <c:idx val="2"/>
          <c:order val="2"/>
          <c:spPr>
            <a:solidFill>
              <a:schemeClr val="accent6">
                <a:lumMod val="20000"/>
                <a:lumOff val="80000"/>
              </a:schemeClr>
            </a:solidFill>
            <a:ln w="0">
              <a:solidFill>
                <a:schemeClr val="accent1">
                  <a:shade val="15000"/>
                </a:schemeClr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"/>
                      <c:h val="0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7-27C8-4DFB-9AE7-36E518528AF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3DDBFE3-0DAC-46A2-ACF0-6EC93F8AFD6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1E0F3D4-6D0A-4CAC-8B88-48B21C32E1D9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27C8-4DFB-9AE7-36E518528AF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13DA625-1F96-4BCA-8726-09B6A83AD55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6CB2A22-DACA-49D1-B381-BB1FE6F6EB17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7C8-4DFB-9AE7-36E518528AF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9105B76-76D0-4000-9531-6C29BD35926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82D875D-8EFE-4536-87E8-EA2C85E69313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46469287182273"/>
                      <c:h val="0.191180180022202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27C8-4DFB-9AE7-36E518528A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0" bIns="0" anchor="ctr" anchorCtr="1">
                <a:no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Approach!$F$25:$F$28</c:f>
              <c:strCache>
                <c:ptCount val="4"/>
                <c:pt idx="0">
                  <c:v>Post-Money</c:v>
                </c:pt>
                <c:pt idx="1">
                  <c:v>Market Value</c:v>
                </c:pt>
                <c:pt idx="2">
                  <c:v>Industry Multiple</c:v>
                </c:pt>
                <c:pt idx="3">
                  <c:v>Discounted Cash Flow</c:v>
                </c:pt>
              </c:strCache>
            </c:strRef>
          </c:cat>
          <c:val>
            <c:numRef>
              <c:f>Approach!$J$25:$J$28</c:f>
              <c:numCache>
                <c:formatCode>#,##0;[Red]\-#,##0</c:formatCode>
                <c:ptCount val="4"/>
                <c:pt idx="1">
                  <c:v>863.42127771532193</c:v>
                </c:pt>
                <c:pt idx="2">
                  <c:v>2843.3350772357735</c:v>
                </c:pt>
                <c:pt idx="3">
                  <c:v>490.96686697103326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Approach!$I$25:$I$28</c15:f>
                <c15:dlblRangeCache>
                  <c:ptCount val="4"/>
                  <c:pt idx="1">
                    <c:v>Diluted cap</c:v>
                  </c:pt>
                  <c:pt idx="2">
                    <c:v>Price/Earnings</c:v>
                  </c:pt>
                  <c:pt idx="3">
                    <c:v>Equity Bridge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27C8-4DFB-9AE7-36E518528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"/>
        <c:overlap val="64"/>
        <c:axId val="188911279"/>
        <c:axId val="2033883184"/>
      </c:barChart>
      <c:catAx>
        <c:axId val="1889112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2033883184"/>
        <c:crosses val="autoZero"/>
        <c:auto val="1"/>
        <c:lblAlgn val="ctr"/>
        <c:lblOffset val="0"/>
        <c:tickLblSkip val="1"/>
        <c:noMultiLvlLbl val="0"/>
      </c:catAx>
      <c:valAx>
        <c:axId val="2033883184"/>
        <c:scaling>
          <c:orientation val="minMax"/>
        </c:scaling>
        <c:delete val="1"/>
        <c:axPos val="l"/>
        <c:numFmt formatCode="#,##0;[Red]\-#,##0" sourceLinked="1"/>
        <c:majorTickMark val="none"/>
        <c:minorTickMark val="none"/>
        <c:tickLblPos val="nextTo"/>
        <c:crossAx val="18891127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checked="Checked" fmlaLink="$H$10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10603&amp;coupon=SAVE20" TargetMode="Externa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hyperlink" Target="https://excelmodels.com/checkout/?add-to-cart=10603&amp;coupon=SAVE20" TargetMode="Externa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603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603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603&amp;coupon=SAVE20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603&amp;coupon=SAVE20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603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7623</xdr:colOff>
      <xdr:row>1</xdr:row>
      <xdr:rowOff>261065</xdr:rowOff>
    </xdr:from>
    <xdr:to>
      <xdr:col>6</xdr:col>
      <xdr:colOff>223633</xdr:colOff>
      <xdr:row>1</xdr:row>
      <xdr:rowOff>1056526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B0E46-91E9-43A5-A452-443A7BEB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3" y="390605"/>
          <a:ext cx="5374750" cy="795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2</xdr:col>
      <xdr:colOff>7623</xdr:colOff>
      <xdr:row>16</xdr:row>
      <xdr:rowOff>9042</xdr:rowOff>
    </xdr:from>
    <xdr:to>
      <xdr:col>4</xdr:col>
      <xdr:colOff>632460</xdr:colOff>
      <xdr:row>21</xdr:row>
      <xdr:rowOff>66999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E4C6C1-7927-490F-8CF8-28DD23B6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3" y="3925722"/>
          <a:ext cx="3322317" cy="1033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571500</xdr:colOff>
      <xdr:row>1</xdr:row>
      <xdr:rowOff>213360</xdr:rowOff>
    </xdr:from>
    <xdr:to>
      <xdr:col>9</xdr:col>
      <xdr:colOff>228600</xdr:colOff>
      <xdr:row>1</xdr:row>
      <xdr:rowOff>411480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8F29D7-69DE-48EB-9226-2775A3D1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7480" y="3429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99061</xdr:colOff>
      <xdr:row>19</xdr:row>
      <xdr:rowOff>121920</xdr:rowOff>
    </xdr:from>
    <xdr:to>
      <xdr:col>11</xdr:col>
      <xdr:colOff>89917</xdr:colOff>
      <xdr:row>31</xdr:row>
      <xdr:rowOff>10852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937B33B-E8F2-74FC-2B13-4B2C85185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1</xdr:row>
      <xdr:rowOff>38100</xdr:rowOff>
    </xdr:from>
    <xdr:to>
      <xdr:col>4</xdr:col>
      <xdr:colOff>670560</xdr:colOff>
      <xdr:row>2</xdr:row>
      <xdr:rowOff>60960</xdr:rowOff>
    </xdr:to>
    <xdr:pic>
      <xdr:nvPicPr>
        <xdr:cNvPr id="2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9B815A-DAD7-4A5D-B038-69B20C56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525780</xdr:colOff>
          <xdr:row>8</xdr:row>
          <xdr:rowOff>7620</xdr:rowOff>
        </xdr:from>
        <xdr:to>
          <xdr:col>2</xdr:col>
          <xdr:colOff>723900</xdr:colOff>
          <xdr:row>9</xdr:row>
          <xdr:rowOff>7620</xdr:rowOff>
        </xdr:to>
        <xdr:sp macro="" textlink="">
          <xdr:nvSpPr>
            <xdr:cNvPr id="77825" name="Check Box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02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</xdr:row>
      <xdr:rowOff>38100</xdr:rowOff>
    </xdr:from>
    <xdr:to>
      <xdr:col>4</xdr:col>
      <xdr:colOff>137160</xdr:colOff>
      <xdr:row>2</xdr:row>
      <xdr:rowOff>60960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F27E5-B77C-4BA2-A312-DC3ABFED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</xdr:row>
      <xdr:rowOff>7620</xdr:rowOff>
    </xdr:from>
    <xdr:to>
      <xdr:col>14</xdr:col>
      <xdr:colOff>357386</xdr:colOff>
      <xdr:row>3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1023A6-E383-45F2-AECD-DDC262E4D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60520" y="495300"/>
          <a:ext cx="2887226" cy="137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4</xdr:col>
      <xdr:colOff>487680</xdr:colOff>
      <xdr:row>2</xdr:row>
      <xdr:rowOff>60960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A73C8-FA0F-4791-AC16-D3722AE6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4</xdr:col>
      <xdr:colOff>198120</xdr:colOff>
      <xdr:row>2</xdr:row>
      <xdr:rowOff>60960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EEBFF-FEB2-42ED-BEE9-228E8C50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7620</xdr:colOff>
      <xdr:row>2</xdr:row>
      <xdr:rowOff>60960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F33B29-3A34-44B4-886C-6724CE5A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4</xdr:col>
      <xdr:colOff>609600</xdr:colOff>
      <xdr:row>2</xdr:row>
      <xdr:rowOff>60960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F5ACF-66F3-4AF8-92AC-7CB61817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BEB7-DDBA-4AC3-B19B-89AEC1C3CDA0}">
  <sheetPr codeName="Sheet1">
    <tabColor rgb="FF0080EA"/>
    <pageSetUpPr fitToPage="1"/>
  </sheetPr>
  <dimension ref="A1:F23"/>
  <sheetViews>
    <sheetView showGridLines="0" showRowColHeaders="0" tabSelected="1" zoomScaleNormal="100" zoomScaleSheetLayoutView="85" workbookViewId="0">
      <selection sqref="A1:XFD1048576"/>
    </sheetView>
  </sheetViews>
  <sheetFormatPr defaultColWidth="9.109375" defaultRowHeight="13.8" x14ac:dyDescent="0.3"/>
  <cols>
    <col min="1" max="1" width="3.21875" style="2" bestFit="1" customWidth="1"/>
    <col min="2" max="2" width="8.109375" style="3" customWidth="1"/>
    <col min="3" max="3" width="21.6640625" style="3" customWidth="1"/>
    <col min="4" max="4" width="17.6640625" style="3" customWidth="1"/>
    <col min="5" max="5" width="17.33203125" style="3" customWidth="1"/>
    <col min="6" max="6" width="18.5546875" style="3" bestFit="1" customWidth="1"/>
    <col min="7" max="16384" width="9.109375" style="3"/>
  </cols>
  <sheetData>
    <row r="1" spans="1:6" s="6" customFormat="1" ht="10.199999999999999" x14ac:dyDescent="0.2">
      <c r="A1" s="49" t="s">
        <v>7</v>
      </c>
      <c r="B1" s="5"/>
      <c r="C1" s="5"/>
    </row>
    <row r="2" spans="1:6" s="11" customFormat="1" ht="83.4" customHeight="1" x14ac:dyDescent="0.3">
      <c r="A2" s="7"/>
      <c r="B2" s="13"/>
      <c r="E2" s="14"/>
      <c r="F2" s="15"/>
    </row>
    <row r="3" spans="1:6" s="16" customFormat="1" ht="19.8" customHeight="1" x14ac:dyDescent="0.35">
      <c r="A3" s="2"/>
    </row>
    <row r="4" spans="1:6" ht="14.4" x14ac:dyDescent="0.3">
      <c r="C4" s="423" t="s">
        <v>70</v>
      </c>
      <c r="D4" s="423"/>
      <c r="E4" s="423"/>
      <c r="F4" s="423"/>
    </row>
    <row r="5" spans="1:6" ht="14.4" x14ac:dyDescent="0.3">
      <c r="C5" s="424" t="s">
        <v>65</v>
      </c>
      <c r="D5" s="424"/>
      <c r="E5" s="424"/>
      <c r="F5" s="424"/>
    </row>
    <row r="6" spans="1:6" ht="14.4" x14ac:dyDescent="0.3">
      <c r="C6" s="424" t="s">
        <v>66</v>
      </c>
      <c r="D6" s="424"/>
      <c r="E6" s="424"/>
      <c r="F6" s="424"/>
    </row>
    <row r="7" spans="1:6" s="12" customFormat="1" ht="14.4" x14ac:dyDescent="0.3">
      <c r="A7" s="17"/>
      <c r="B7" s="17"/>
      <c r="C7" s="424" t="s">
        <v>67</v>
      </c>
      <c r="D7" s="424"/>
      <c r="E7" s="424"/>
      <c r="F7" s="424"/>
    </row>
    <row r="8" spans="1:6" s="16" customFormat="1" ht="19.8" customHeight="1" x14ac:dyDescent="0.35">
      <c r="A8" s="2"/>
    </row>
    <row r="9" spans="1:6" ht="15" x14ac:dyDescent="0.35">
      <c r="C9" s="18" t="s">
        <v>12</v>
      </c>
      <c r="D9" s="18" t="s">
        <v>13</v>
      </c>
      <c r="E9" s="18" t="s">
        <v>14</v>
      </c>
      <c r="F9" s="18" t="s">
        <v>59</v>
      </c>
    </row>
    <row r="10" spans="1:6" s="33" customFormat="1" x14ac:dyDescent="0.3">
      <c r="A10" s="32"/>
      <c r="C10" s="51" t="s">
        <v>20</v>
      </c>
      <c r="D10" s="51" t="s">
        <v>57</v>
      </c>
      <c r="E10" s="51" t="s">
        <v>56</v>
      </c>
      <c r="F10" s="51" t="s">
        <v>60</v>
      </c>
    </row>
    <row r="11" spans="1:6" s="33" customFormat="1" x14ac:dyDescent="0.3">
      <c r="A11" s="32"/>
      <c r="C11" s="51" t="s">
        <v>27</v>
      </c>
      <c r="D11" s="51" t="s">
        <v>58</v>
      </c>
      <c r="E11" s="51" t="s">
        <v>15</v>
      </c>
      <c r="F11" s="33" t="s">
        <v>61</v>
      </c>
    </row>
    <row r="12" spans="1:6" s="33" customFormat="1" x14ac:dyDescent="0.3">
      <c r="A12" s="32"/>
      <c r="C12" s="51" t="s">
        <v>53</v>
      </c>
      <c r="D12" s="33" t="s">
        <v>68</v>
      </c>
      <c r="E12" s="51" t="s">
        <v>16</v>
      </c>
      <c r="F12" s="51" t="s">
        <v>213</v>
      </c>
    </row>
    <row r="13" spans="1:6" s="33" customFormat="1" x14ac:dyDescent="0.3">
      <c r="A13" s="32"/>
      <c r="C13" s="51" t="s">
        <v>19</v>
      </c>
      <c r="D13" s="51" t="s">
        <v>17</v>
      </c>
      <c r="E13" s="51" t="s">
        <v>9</v>
      </c>
      <c r="F13" s="51" t="s">
        <v>69</v>
      </c>
    </row>
    <row r="14" spans="1:6" s="33" customFormat="1" x14ac:dyDescent="0.3">
      <c r="A14" s="32"/>
      <c r="C14" s="51" t="s">
        <v>55</v>
      </c>
      <c r="D14" s="51" t="s">
        <v>28</v>
      </c>
      <c r="E14" s="51" t="s">
        <v>54</v>
      </c>
      <c r="F14" s="51" t="s">
        <v>62</v>
      </c>
    </row>
    <row r="15" spans="1:6" x14ac:dyDescent="0.3">
      <c r="C15" s="3" t="s">
        <v>64</v>
      </c>
      <c r="D15" s="51" t="s">
        <v>18</v>
      </c>
      <c r="E15" s="13" t="s">
        <v>29</v>
      </c>
      <c r="F15" s="13" t="s">
        <v>63</v>
      </c>
    </row>
    <row r="16" spans="1:6" ht="19.8" customHeight="1" x14ac:dyDescent="0.3">
      <c r="E16" s="293"/>
      <c r="F16" s="293"/>
    </row>
    <row r="17" spans="1:3" s="16" customFormat="1" ht="18" x14ac:dyDescent="0.35">
      <c r="A17" s="2"/>
    </row>
    <row r="21" spans="1:3" ht="17.399999999999999" customHeight="1" x14ac:dyDescent="0.3"/>
    <row r="23" spans="1:3" x14ac:dyDescent="0.3">
      <c r="C23" s="292" t="s">
        <v>210</v>
      </c>
    </row>
  </sheetData>
  <sheetProtection algorithmName="SHA-512" hashValue="NPM1hA5NVTdv/bF8IHJq6lZAZrjVrbyITs3p/UiBYLALEyVwPnEaII3SqrhdexO4KN29B66/Z68qpV38hicSdA==" saltValue="5dB8VLGZfu8GKLDmTwn3/Q==" spinCount="100000" sheet="1" objects="1" scenarios="1" selectLockedCells="1" selectUnlockedCells="1"/>
  <mergeCells count="4">
    <mergeCell ref="C4:F4"/>
    <mergeCell ref="C5:F5"/>
    <mergeCell ref="C6:F6"/>
    <mergeCell ref="C7:F7"/>
  </mergeCells>
  <printOptions horizontalCentered="1"/>
  <pageMargins left="0.5" right="0.5" top="0.75" bottom="0.5" header="0.3" footer="0.3"/>
  <pageSetup orientation="landscape" r:id="rId1"/>
  <headerFooter scaleWithDoc="0"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3270-76DC-426F-836C-F66C1CF09CA3}">
  <sheetPr codeName="Sheet2">
    <tabColor theme="0"/>
    <pageSetUpPr fitToPage="1"/>
  </sheetPr>
  <dimension ref="A1:U32"/>
  <sheetViews>
    <sheetView showGridLines="0" showRowColHeaders="0" zoomScaleNormal="100" workbookViewId="0">
      <selection activeCell="O12" sqref="O12"/>
    </sheetView>
  </sheetViews>
  <sheetFormatPr defaultRowHeight="13.8" x14ac:dyDescent="0.3"/>
  <cols>
    <col min="1" max="1" width="3.21875" style="6" bestFit="1" customWidth="1"/>
    <col min="2" max="2" width="4.77734375" style="9" customWidth="1"/>
    <col min="3" max="3" width="9.88671875" style="9" customWidth="1"/>
    <col min="4" max="4" width="2.6640625" style="9" customWidth="1"/>
    <col min="5" max="5" width="23.33203125" style="9" customWidth="1"/>
    <col min="6" max="6" width="2.21875" style="9" customWidth="1"/>
    <col min="7" max="7" width="23.33203125" style="9" customWidth="1"/>
    <col min="8" max="8" width="2.21875" style="9" customWidth="1"/>
    <col min="9" max="9" width="23.33203125" style="9" customWidth="1"/>
    <col min="10" max="10" width="2.21875" style="9" customWidth="1"/>
    <col min="11" max="11" width="23.33203125" style="9" customWidth="1"/>
    <col min="12" max="16384" width="8.88671875" style="9"/>
  </cols>
  <sheetData>
    <row r="1" spans="1:21" s="6" customFormat="1" ht="10.199999999999999" x14ac:dyDescent="0.2">
      <c r="A1" s="49" t="s">
        <v>7</v>
      </c>
      <c r="B1" s="5"/>
    </row>
    <row r="2" spans="1:21" s="49" customFormat="1" ht="13.8" customHeight="1" x14ac:dyDescent="0.2">
      <c r="A2" s="7"/>
      <c r="B2" s="7"/>
      <c r="C2" s="4"/>
      <c r="D2" s="4"/>
      <c r="E2" s="2"/>
      <c r="F2" s="2"/>
      <c r="G2" s="2"/>
      <c r="H2" s="2"/>
      <c r="I2" s="2"/>
      <c r="J2" s="2"/>
      <c r="K2" s="2"/>
      <c r="L2" s="65"/>
      <c r="N2" s="65"/>
      <c r="O2" s="2"/>
      <c r="P2" s="2"/>
      <c r="Q2" s="2"/>
      <c r="R2" s="2"/>
      <c r="S2" s="2"/>
      <c r="T2" s="2"/>
    </row>
    <row r="3" spans="1:21" s="2" customFormat="1" ht="31.8" customHeight="1" x14ac:dyDescent="0.45">
      <c r="A3" s="7"/>
      <c r="B3" s="7"/>
      <c r="C3" s="416" t="s">
        <v>262</v>
      </c>
      <c r="D3" s="416"/>
      <c r="E3" s="7"/>
      <c r="Q3" s="7"/>
      <c r="S3" s="82"/>
      <c r="T3" s="82"/>
      <c r="U3" s="82"/>
    </row>
    <row r="4" spans="1:21" s="55" customFormat="1" ht="7.8" customHeight="1" x14ac:dyDescent="0.3">
      <c r="A4" s="78"/>
      <c r="B4" s="78"/>
      <c r="G4" s="235"/>
      <c r="L4" s="80"/>
      <c r="S4" s="236"/>
      <c r="U4" s="80"/>
    </row>
    <row r="5" spans="1:21" s="38" customFormat="1" ht="16.8" customHeight="1" x14ac:dyDescent="0.4">
      <c r="B5" s="26"/>
      <c r="C5" s="388" t="s">
        <v>21</v>
      </c>
      <c r="D5" s="411"/>
      <c r="E5" s="401" t="s">
        <v>50</v>
      </c>
      <c r="F5" s="9"/>
      <c r="G5" s="401" t="s">
        <v>216</v>
      </c>
      <c r="H5" s="9"/>
      <c r="I5" s="401" t="s">
        <v>217</v>
      </c>
      <c r="J5" s="9"/>
      <c r="K5" s="401" t="s">
        <v>214</v>
      </c>
    </row>
    <row r="6" spans="1:21" s="35" customFormat="1" ht="13.2" customHeight="1" x14ac:dyDescent="0.15">
      <c r="A6" s="40"/>
      <c r="B6" s="41"/>
      <c r="C6" s="30" t="s">
        <v>43</v>
      </c>
      <c r="D6" s="380"/>
      <c r="E6" s="402" t="s">
        <v>269</v>
      </c>
      <c r="F6" s="403"/>
      <c r="G6" s="30" t="s">
        <v>279</v>
      </c>
      <c r="H6" s="30"/>
      <c r="I6" s="402" t="s">
        <v>280</v>
      </c>
      <c r="J6" s="403"/>
      <c r="K6" s="380" t="s">
        <v>281</v>
      </c>
    </row>
    <row r="7" spans="1:21" s="29" customFormat="1" ht="13.2" customHeight="1" x14ac:dyDescent="0.15">
      <c r="A7" s="40"/>
      <c r="B7" s="41"/>
      <c r="C7" s="405" t="s">
        <v>44</v>
      </c>
      <c r="D7" s="380"/>
      <c r="E7" s="404" t="s">
        <v>270</v>
      </c>
      <c r="F7" s="27"/>
      <c r="G7" s="405" t="s">
        <v>282</v>
      </c>
      <c r="H7" s="30"/>
      <c r="I7" s="404" t="s">
        <v>282</v>
      </c>
      <c r="J7" s="27"/>
      <c r="K7" s="406" t="s">
        <v>282</v>
      </c>
    </row>
    <row r="8" spans="1:21" s="35" customFormat="1" ht="13.2" customHeight="1" x14ac:dyDescent="0.15">
      <c r="A8" s="40"/>
      <c r="B8" s="42"/>
      <c r="C8" s="405" t="s">
        <v>45</v>
      </c>
      <c r="D8" s="380"/>
      <c r="E8" s="404" t="s">
        <v>271</v>
      </c>
      <c r="F8" s="403"/>
      <c r="G8" s="405" t="s">
        <v>283</v>
      </c>
      <c r="H8" s="30"/>
      <c r="I8" s="404" t="s">
        <v>283</v>
      </c>
      <c r="J8" s="403"/>
      <c r="K8" s="406" t="s">
        <v>275</v>
      </c>
    </row>
    <row r="9" spans="1:21" s="38" customFormat="1" ht="13.2" customHeight="1" x14ac:dyDescent="0.15">
      <c r="A9" s="40"/>
      <c r="B9" s="42"/>
      <c r="C9" s="405" t="s">
        <v>263</v>
      </c>
      <c r="D9" s="380"/>
      <c r="E9" s="404" t="s">
        <v>272</v>
      </c>
      <c r="F9" s="403"/>
      <c r="G9" s="405" t="s">
        <v>284</v>
      </c>
      <c r="H9" s="30"/>
      <c r="I9" s="404" t="s">
        <v>285</v>
      </c>
      <c r="J9" s="403"/>
      <c r="K9" s="406" t="s">
        <v>286</v>
      </c>
    </row>
    <row r="10" spans="1:21" s="38" customFormat="1" ht="13.2" customHeight="1" x14ac:dyDescent="0.15">
      <c r="A10" s="40"/>
      <c r="B10" s="42"/>
      <c r="C10" s="408" t="s">
        <v>46</v>
      </c>
      <c r="D10" s="380"/>
      <c r="E10" s="407" t="s">
        <v>273</v>
      </c>
      <c r="F10" s="403"/>
      <c r="G10" s="408" t="s">
        <v>287</v>
      </c>
      <c r="H10" s="30"/>
      <c r="I10" s="407" t="s">
        <v>288</v>
      </c>
      <c r="J10" s="403"/>
      <c r="K10" s="409" t="s">
        <v>289</v>
      </c>
    </row>
    <row r="11" spans="1:21" ht="10.8" customHeight="1" x14ac:dyDescent="0.3">
      <c r="A11" s="9"/>
      <c r="B11" s="1"/>
      <c r="C11" s="380"/>
      <c r="D11" s="380"/>
      <c r="E11" s="376"/>
      <c r="F11" s="382"/>
      <c r="G11" s="376"/>
      <c r="H11" s="382"/>
      <c r="I11" s="381"/>
      <c r="J11" s="382"/>
      <c r="K11" s="376"/>
    </row>
    <row r="12" spans="1:21" s="35" customFormat="1" ht="13.2" customHeight="1" x14ac:dyDescent="0.4">
      <c r="B12" s="36"/>
      <c r="C12" s="388" t="s">
        <v>22</v>
      </c>
      <c r="D12" s="39"/>
      <c r="E12" s="400" t="s">
        <v>87</v>
      </c>
      <c r="F12" s="9"/>
      <c r="G12" s="400" t="s">
        <v>88</v>
      </c>
      <c r="H12" s="9"/>
      <c r="I12" s="400" t="s">
        <v>89</v>
      </c>
      <c r="J12" s="9"/>
      <c r="K12" s="400" t="s">
        <v>90</v>
      </c>
    </row>
    <row r="13" spans="1:21" s="35" customFormat="1" ht="13.2" customHeight="1" x14ac:dyDescent="0.3">
      <c r="B13" s="36"/>
      <c r="C13" s="30" t="s">
        <v>43</v>
      </c>
      <c r="D13" s="380"/>
      <c r="E13" s="402" t="s">
        <v>274</v>
      </c>
      <c r="F13" s="403"/>
      <c r="G13" s="30" t="s">
        <v>290</v>
      </c>
      <c r="H13" s="30"/>
      <c r="I13" s="402" t="s">
        <v>291</v>
      </c>
      <c r="J13" s="403"/>
      <c r="K13" s="380" t="s">
        <v>292</v>
      </c>
    </row>
    <row r="14" spans="1:21" s="29" customFormat="1" ht="13.2" customHeight="1" x14ac:dyDescent="0.3">
      <c r="A14" s="23"/>
      <c r="C14" s="405" t="s">
        <v>44</v>
      </c>
      <c r="D14" s="380"/>
      <c r="E14" s="404" t="s">
        <v>270</v>
      </c>
      <c r="F14" s="27"/>
      <c r="G14" s="405" t="s">
        <v>270</v>
      </c>
      <c r="H14" s="30"/>
      <c r="I14" s="404" t="s">
        <v>270</v>
      </c>
      <c r="J14" s="27"/>
      <c r="K14" s="406" t="s">
        <v>282</v>
      </c>
    </row>
    <row r="15" spans="1:21" s="35" customFormat="1" ht="13.2" customHeight="1" x14ac:dyDescent="0.3">
      <c r="A15" s="24"/>
      <c r="B15" s="36"/>
      <c r="C15" s="405" t="s">
        <v>45</v>
      </c>
      <c r="D15" s="380"/>
      <c r="E15" s="404" t="s">
        <v>275</v>
      </c>
      <c r="F15" s="403"/>
      <c r="G15" s="405" t="s">
        <v>275</v>
      </c>
      <c r="H15" s="30"/>
      <c r="I15" s="404" t="s">
        <v>275</v>
      </c>
      <c r="J15" s="403"/>
      <c r="K15" s="406" t="s">
        <v>275</v>
      </c>
    </row>
    <row r="16" spans="1:21" s="38" customFormat="1" ht="13.2" customHeight="1" x14ac:dyDescent="0.3">
      <c r="A16" s="37"/>
      <c r="B16" s="26"/>
      <c r="C16" s="30" t="s">
        <v>46</v>
      </c>
      <c r="D16" s="380"/>
      <c r="E16" s="402" t="s">
        <v>276</v>
      </c>
      <c r="F16" s="410"/>
      <c r="G16" s="30" t="s">
        <v>293</v>
      </c>
      <c r="H16" s="410"/>
      <c r="I16" s="402" t="s">
        <v>294</v>
      </c>
      <c r="J16" s="410"/>
      <c r="K16" s="380" t="s">
        <v>295</v>
      </c>
    </row>
    <row r="17" spans="1:14" ht="10.8" customHeight="1" x14ac:dyDescent="0.3">
      <c r="B17" s="1"/>
      <c r="C17" s="30"/>
      <c r="D17" s="30"/>
      <c r="E17" s="30"/>
      <c r="F17" s="410"/>
      <c r="G17" s="30"/>
      <c r="H17" s="410"/>
      <c r="I17" s="380"/>
      <c r="J17" s="410"/>
      <c r="K17" s="380"/>
    </row>
    <row r="18" spans="1:14" s="38" customFormat="1" ht="13.2" customHeight="1" x14ac:dyDescent="0.3">
      <c r="A18" s="37"/>
      <c r="B18" s="26"/>
      <c r="C18" s="377" t="s">
        <v>23</v>
      </c>
      <c r="D18" s="383"/>
      <c r="E18" s="412" t="s">
        <v>277</v>
      </c>
      <c r="F18" s="410"/>
      <c r="G18" s="30" t="s">
        <v>296</v>
      </c>
      <c r="H18" s="410"/>
      <c r="I18" s="402" t="s">
        <v>297</v>
      </c>
      <c r="J18" s="410"/>
      <c r="K18" s="380" t="s">
        <v>298</v>
      </c>
    </row>
    <row r="19" spans="1:14" s="38" customFormat="1" ht="13.2" customHeight="1" x14ac:dyDescent="0.3">
      <c r="A19" s="37"/>
      <c r="B19" s="26"/>
      <c r="C19" s="30"/>
      <c r="D19" s="30"/>
      <c r="E19" s="402" t="s">
        <v>278</v>
      </c>
      <c r="F19" s="410"/>
      <c r="G19" s="30" t="s">
        <v>299</v>
      </c>
      <c r="H19" s="410"/>
      <c r="I19" s="402" t="s">
        <v>300</v>
      </c>
      <c r="J19" s="410"/>
      <c r="K19" s="30" t="s">
        <v>301</v>
      </c>
    </row>
    <row r="20" spans="1:14" ht="12.6" customHeight="1" x14ac:dyDescent="0.3">
      <c r="B20" s="1"/>
      <c r="D20" s="1"/>
      <c r="E20" s="1"/>
      <c r="G20" s="1"/>
      <c r="I20" s="1"/>
      <c r="K20" s="1"/>
    </row>
    <row r="21" spans="1:14" ht="13.2" customHeight="1" x14ac:dyDescent="0.3">
      <c r="B21" s="1"/>
      <c r="C21" s="388" t="s">
        <v>264</v>
      </c>
      <c r="D21" s="384"/>
    </row>
    <row r="22" spans="1:14" ht="10.8" customHeight="1" x14ac:dyDescent="0.3">
      <c r="C22" s="389" t="s">
        <v>265</v>
      </c>
      <c r="D22" s="385"/>
    </row>
    <row r="23" spans="1:14" ht="15" customHeight="1" x14ac:dyDescent="0.3">
      <c r="A23" s="9"/>
      <c r="B23" s="1"/>
      <c r="C23" s="295" t="s">
        <v>220</v>
      </c>
      <c r="D23" s="379"/>
    </row>
    <row r="24" spans="1:14" ht="13.2" customHeight="1" x14ac:dyDescent="0.3">
      <c r="A24" s="9"/>
      <c r="C24" s="295" t="s">
        <v>221</v>
      </c>
      <c r="D24" s="379"/>
      <c r="N24" s="375"/>
    </row>
    <row r="25" spans="1:14" ht="4.8" customHeight="1" x14ac:dyDescent="0.3">
      <c r="A25" s="9"/>
      <c r="B25" s="1"/>
      <c r="C25" s="378"/>
      <c r="F25" s="43" t="s">
        <v>50</v>
      </c>
      <c r="G25" s="43" t="s">
        <v>261</v>
      </c>
      <c r="H25" s="44">
        <f>Valuation!$F$11</f>
        <v>859.06735706795018</v>
      </c>
      <c r="I25" s="43"/>
      <c r="J25" s="386"/>
    </row>
    <row r="26" spans="1:14" ht="4.8" customHeight="1" x14ac:dyDescent="0.3">
      <c r="A26" s="9"/>
      <c r="B26" s="1"/>
      <c r="C26" s="379"/>
      <c r="F26" s="45" t="s">
        <v>49</v>
      </c>
      <c r="G26" s="45" t="s">
        <v>61</v>
      </c>
      <c r="H26" s="46">
        <f>Valuation!$I$11</f>
        <v>922.68069444444427</v>
      </c>
      <c r="I26" s="45" t="s">
        <v>213</v>
      </c>
      <c r="J26" s="46">
        <f>Valuation!$I$24</f>
        <v>863.42127771532193</v>
      </c>
    </row>
    <row r="27" spans="1:14" ht="4.8" customHeight="1" x14ac:dyDescent="0.3">
      <c r="F27" s="45" t="s">
        <v>48</v>
      </c>
      <c r="G27" s="45" t="s">
        <v>51</v>
      </c>
      <c r="H27" s="46">
        <f>Valuation!$L$13</f>
        <v>3137.7551020408164</v>
      </c>
      <c r="I27" s="45" t="s">
        <v>52</v>
      </c>
      <c r="J27" s="46">
        <f>Valuation!$L$24</f>
        <v>2843.3350772357735</v>
      </c>
    </row>
    <row r="28" spans="1:14" ht="4.8" customHeight="1" x14ac:dyDescent="0.3">
      <c r="F28" s="47" t="s">
        <v>47</v>
      </c>
      <c r="G28" s="47" t="s">
        <v>215</v>
      </c>
      <c r="H28" s="48">
        <f>Valuation!$O$13</f>
        <v>699.2975005974755</v>
      </c>
      <c r="I28" s="47" t="s">
        <v>41</v>
      </c>
      <c r="J28" s="48">
        <f>Valuation!$O$27</f>
        <v>490.96686697103326</v>
      </c>
    </row>
    <row r="29" spans="1:14" x14ac:dyDescent="0.3">
      <c r="E29" s="387"/>
    </row>
    <row r="30" spans="1:14" x14ac:dyDescent="0.3">
      <c r="E30" s="387"/>
    </row>
    <row r="32" spans="1:14" x14ac:dyDescent="0.3">
      <c r="E32" s="414" t="s">
        <v>50</v>
      </c>
      <c r="F32" s="413"/>
      <c r="G32" s="415" t="s">
        <v>49</v>
      </c>
      <c r="H32" s="413"/>
      <c r="I32" s="415" t="s">
        <v>267</v>
      </c>
      <c r="J32" s="413"/>
      <c r="K32" s="415" t="s">
        <v>268</v>
      </c>
    </row>
  </sheetData>
  <sheetProtection algorithmName="SHA-512" hashValue="7G7lVa7UUePW+3bNpZtGId9k0mCt6legfWgz0gbDAvzkutc5o5IBfRvpWS9fuEQIqc4euAYOst05ZwFZ96mkQA==" saltValue="gwkULI4BHIVe0YAHJOKb3w==" spinCount="100000" sheet="1" objects="1" scenarios="1" selectLockedCells="1" selectUnlockedCells="1"/>
  <printOptions horizontalCentered="1"/>
  <pageMargins left="0.5" right="0.5" top="1" bottom="0.5" header="0.3" footer="0.3"/>
  <pageSetup orientation="landscape" r:id="rId1"/>
  <headerFooter scaleWithDoc="0" alignWithMargins="0">
    <oddFooter>&amp;L&amp;10Valuation methods&amp;R&amp;10Updated 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AFF2-DE61-479A-B468-B54E62C9B5E9}">
  <sheetPr>
    <tabColor rgb="FFFFFFEB"/>
    <pageSetUpPr fitToPage="1"/>
  </sheetPr>
  <dimension ref="A1:AC30"/>
  <sheetViews>
    <sheetView showGridLines="0" showRowColHeaders="0" zoomScaleNormal="100" zoomScaleSheetLayoutView="55" workbookViewId="0"/>
  </sheetViews>
  <sheetFormatPr defaultColWidth="10" defaultRowHeight="10.199999999999999" x14ac:dyDescent="0.2"/>
  <cols>
    <col min="1" max="1" width="3.21875" style="49" bestFit="1" customWidth="1"/>
    <col min="2" max="2" width="4.77734375" style="49" customWidth="1"/>
    <col min="3" max="3" width="11.77734375" style="49" customWidth="1"/>
    <col min="4" max="6" width="8.5546875" style="49" customWidth="1"/>
    <col min="7" max="7" width="8.5546875" style="2" customWidth="1"/>
    <col min="8" max="8" width="4.6640625" style="49" hidden="1" customWidth="1"/>
    <col min="9" max="9" width="6.6640625" style="49" customWidth="1"/>
    <col min="10" max="10" width="10.5546875" style="49" customWidth="1"/>
    <col min="11" max="11" width="8.5546875" style="52" customWidth="1"/>
    <col min="12" max="12" width="6" style="52" bestFit="1" customWidth="1"/>
    <col min="13" max="13" width="5.109375" style="52" customWidth="1"/>
    <col min="14" max="14" width="6.6640625" style="49" customWidth="1"/>
    <col min="15" max="15" width="15.109375" style="49" customWidth="1"/>
    <col min="16" max="18" width="8.5546875" style="49" customWidth="1"/>
    <col min="19" max="19" width="8" style="49" customWidth="1"/>
    <col min="20" max="20" width="12" style="20" bestFit="1" customWidth="1"/>
    <col min="21" max="23" width="8.5546875" style="59" customWidth="1"/>
    <col min="24" max="24" width="0.88671875" style="59" customWidth="1"/>
    <col min="25" max="16384" width="10" style="49"/>
  </cols>
  <sheetData>
    <row r="1" spans="1:29" s="6" customFormat="1" x14ac:dyDescent="0.2">
      <c r="A1" s="497"/>
      <c r="B1" s="5"/>
      <c r="C1" s="5"/>
    </row>
    <row r="2" spans="1:29" ht="13.8" customHeight="1" x14ac:dyDescent="0.2">
      <c r="A2" s="7"/>
      <c r="B2" s="7"/>
      <c r="C2" s="4"/>
      <c r="D2" s="4"/>
      <c r="E2" s="2"/>
      <c r="F2" s="2"/>
      <c r="H2" s="2"/>
      <c r="I2" s="2"/>
      <c r="J2" s="2"/>
      <c r="K2" s="2"/>
      <c r="L2" s="65"/>
      <c r="M2" s="49"/>
      <c r="N2" s="65"/>
      <c r="O2" s="2"/>
      <c r="P2" s="2"/>
      <c r="Q2" s="2"/>
      <c r="R2" s="2"/>
      <c r="S2" s="2"/>
      <c r="T2" s="2"/>
      <c r="U2" s="49"/>
      <c r="V2" s="49"/>
      <c r="W2" s="49"/>
      <c r="X2" s="49"/>
    </row>
    <row r="3" spans="1:29" ht="14.4" customHeight="1" x14ac:dyDescent="0.2">
      <c r="A3" s="7"/>
      <c r="B3" s="7"/>
      <c r="C3" s="4"/>
      <c r="D3" s="7"/>
      <c r="E3" s="4"/>
      <c r="F3" s="4"/>
      <c r="G3" s="4"/>
      <c r="H3" s="4"/>
      <c r="I3" s="4"/>
      <c r="J3" s="7"/>
      <c r="K3" s="21"/>
      <c r="L3" s="21"/>
      <c r="M3" s="21"/>
      <c r="N3" s="4"/>
      <c r="O3" s="4"/>
      <c r="P3" s="4"/>
      <c r="T3" s="2"/>
      <c r="U3" s="82"/>
      <c r="V3" s="82"/>
      <c r="W3" s="82"/>
      <c r="X3" s="82"/>
    </row>
    <row r="4" spans="1:29" s="2" customFormat="1" ht="17.399999999999999" customHeight="1" x14ac:dyDescent="0.45">
      <c r="A4" s="7"/>
      <c r="B4" s="7"/>
      <c r="C4" s="416" t="s">
        <v>86</v>
      </c>
      <c r="D4" s="416"/>
      <c r="E4" s="7"/>
      <c r="Q4" s="7"/>
      <c r="S4" s="82"/>
      <c r="T4" s="82"/>
      <c r="U4" s="82"/>
    </row>
    <row r="5" spans="1:29" s="55" customFormat="1" ht="7.8" customHeight="1" x14ac:dyDescent="0.3">
      <c r="A5" s="78"/>
      <c r="B5" s="78"/>
      <c r="G5" s="235"/>
      <c r="L5" s="80"/>
      <c r="S5" s="236"/>
      <c r="U5" s="80"/>
    </row>
    <row r="6" spans="1:29" s="55" customFormat="1" ht="16.8" customHeight="1" x14ac:dyDescent="0.3">
      <c r="A6" s="24"/>
      <c r="B6" s="71"/>
      <c r="C6" s="419" t="s">
        <v>30</v>
      </c>
      <c r="D6" s="419"/>
      <c r="E6" s="419"/>
      <c r="F6" s="419"/>
      <c r="G6" s="419"/>
      <c r="H6" s="76"/>
      <c r="I6" s="76"/>
      <c r="J6" s="419" t="s">
        <v>166</v>
      </c>
      <c r="K6" s="419"/>
      <c r="L6" s="419"/>
      <c r="M6" s="419"/>
      <c r="N6" s="76"/>
      <c r="O6" s="420" t="s">
        <v>165</v>
      </c>
      <c r="P6" s="420"/>
      <c r="Q6" s="420"/>
      <c r="R6" s="420"/>
      <c r="S6" s="240"/>
      <c r="T6" s="421" t="s">
        <v>147</v>
      </c>
      <c r="U6" s="421"/>
      <c r="V6" s="421"/>
      <c r="W6" s="421"/>
      <c r="X6" s="421"/>
    </row>
    <row r="7" spans="1:29" ht="3.6" customHeight="1" x14ac:dyDescent="0.2">
      <c r="G7" s="282"/>
      <c r="H7" s="282"/>
      <c r="J7" s="52"/>
      <c r="Q7" s="2"/>
      <c r="R7" s="283"/>
      <c r="T7" s="422"/>
      <c r="U7" s="422"/>
      <c r="V7" s="422"/>
      <c r="W7" s="422"/>
      <c r="X7" s="422"/>
      <c r="Y7" s="20"/>
      <c r="Z7" s="59"/>
      <c r="AA7" s="59"/>
      <c r="AB7" s="59"/>
      <c r="AC7" s="59"/>
    </row>
    <row r="8" spans="1:29" s="55" customFormat="1" ht="15" customHeight="1" x14ac:dyDescent="0.3">
      <c r="A8" s="24"/>
      <c r="B8" s="24"/>
      <c r="C8" s="72" t="s">
        <v>78</v>
      </c>
      <c r="D8" s="124" t="s">
        <v>8</v>
      </c>
      <c r="E8" s="124" t="s">
        <v>0</v>
      </c>
      <c r="F8" s="124" t="s">
        <v>1</v>
      </c>
      <c r="G8" s="124" t="s">
        <v>5</v>
      </c>
      <c r="H8" s="136"/>
      <c r="I8" s="136"/>
      <c r="J8" s="72" t="s">
        <v>76</v>
      </c>
      <c r="K8" s="124" t="s">
        <v>169</v>
      </c>
      <c r="L8" s="124" t="s">
        <v>40</v>
      </c>
      <c r="M8" s="124" t="s">
        <v>39</v>
      </c>
      <c r="N8" s="126"/>
      <c r="O8" s="72" t="s">
        <v>164</v>
      </c>
      <c r="P8" s="124" t="s">
        <v>100</v>
      </c>
      <c r="Q8" s="124" t="s">
        <v>101</v>
      </c>
      <c r="R8" s="124" t="s">
        <v>102</v>
      </c>
      <c r="S8" s="126"/>
      <c r="T8" s="176" t="s">
        <v>191</v>
      </c>
      <c r="U8" s="178" t="s">
        <v>146</v>
      </c>
      <c r="V8" s="178" t="s">
        <v>78</v>
      </c>
      <c r="W8" s="178" t="s">
        <v>144</v>
      </c>
      <c r="X8" s="190"/>
    </row>
    <row r="9" spans="1:29" ht="13.8" customHeight="1" x14ac:dyDescent="0.3">
      <c r="A9" s="4"/>
      <c r="B9" s="4"/>
      <c r="C9" s="498" t="s">
        <v>91</v>
      </c>
      <c r="D9" s="129"/>
      <c r="E9" s="129"/>
      <c r="F9" s="129"/>
      <c r="G9" s="129"/>
      <c r="H9" s="129"/>
      <c r="I9" s="129"/>
      <c r="J9" s="28" t="s">
        <v>124</v>
      </c>
      <c r="K9" s="445">
        <v>25</v>
      </c>
      <c r="L9" s="446">
        <v>0.05</v>
      </c>
      <c r="M9" s="487">
        <v>7.1999999999999995E-2</v>
      </c>
      <c r="N9" s="129"/>
      <c r="O9" s="112" t="s">
        <v>138</v>
      </c>
      <c r="P9" s="486">
        <v>6000</v>
      </c>
      <c r="Q9" s="447">
        <v>9000</v>
      </c>
      <c r="R9" s="447">
        <v>5500</v>
      </c>
      <c r="S9" s="129"/>
      <c r="T9" s="265" t="s">
        <v>145</v>
      </c>
      <c r="U9" s="89">
        <f>SUM(Funding!$O$8:$R$8)</f>
        <v>35</v>
      </c>
      <c r="V9" s="89">
        <f>Funding!$M$9</f>
        <v>50</v>
      </c>
      <c r="W9" s="266">
        <f>Funding!$W$8</f>
        <v>4.4718108225274916E-2</v>
      </c>
      <c r="X9" s="267"/>
    </row>
    <row r="10" spans="1:29" ht="13.8" customHeight="1" x14ac:dyDescent="0.3">
      <c r="A10" s="4"/>
      <c r="B10" s="4"/>
      <c r="C10" s="108" t="s">
        <v>92</v>
      </c>
      <c r="D10" s="493">
        <v>50</v>
      </c>
      <c r="E10" s="449">
        <v>55</v>
      </c>
      <c r="F10" s="450">
        <v>60</v>
      </c>
      <c r="G10" s="448">
        <v>115</v>
      </c>
      <c r="H10" s="485" t="b">
        <v>1</v>
      </c>
      <c r="I10" s="63"/>
      <c r="J10" s="28" t="s">
        <v>125</v>
      </c>
      <c r="K10" s="451">
        <v>75</v>
      </c>
      <c r="L10" s="452">
        <v>0.03</v>
      </c>
      <c r="M10" s="453">
        <v>9.5000000000000001E-2</v>
      </c>
      <c r="N10" s="129"/>
      <c r="O10" s="112" t="s">
        <v>121</v>
      </c>
      <c r="P10" s="454">
        <v>900</v>
      </c>
      <c r="Q10" s="454">
        <v>1050</v>
      </c>
      <c r="R10" s="454">
        <v>500</v>
      </c>
      <c r="S10" s="129"/>
      <c r="T10" s="265" t="s">
        <v>151</v>
      </c>
      <c r="U10" s="89">
        <f>SUM(Funding!$O$9:$R$9)</f>
        <v>32.032967032967036</v>
      </c>
      <c r="V10" s="89">
        <f>Funding!$M$10</f>
        <v>92.4</v>
      </c>
      <c r="W10" s="266">
        <f>Funding!$W$9</f>
        <v>8.2639064000308057E-2</v>
      </c>
      <c r="X10" s="267"/>
    </row>
    <row r="11" spans="1:29" ht="13.8" customHeight="1" x14ac:dyDescent="0.3">
      <c r="A11" s="4"/>
      <c r="C11" s="108" t="s">
        <v>93</v>
      </c>
      <c r="D11" s="455">
        <v>50</v>
      </c>
      <c r="E11" s="456">
        <v>50</v>
      </c>
      <c r="F11" s="457">
        <v>50</v>
      </c>
      <c r="G11" s="455">
        <v>50</v>
      </c>
      <c r="H11" s="108"/>
      <c r="I11" s="63"/>
      <c r="J11" s="28" t="s">
        <v>111</v>
      </c>
      <c r="K11" s="458">
        <v>100</v>
      </c>
      <c r="L11" s="142"/>
      <c r="M11" s="459">
        <v>7.0000000000000007E-2</v>
      </c>
      <c r="N11" s="129"/>
      <c r="O11" s="112" t="s">
        <v>139</v>
      </c>
      <c r="P11" s="454">
        <v>8000</v>
      </c>
      <c r="Q11" s="454">
        <v>8270</v>
      </c>
      <c r="R11" s="454">
        <v>8100</v>
      </c>
      <c r="S11" s="129"/>
      <c r="T11" s="268" t="s">
        <v>152</v>
      </c>
      <c r="U11" s="90">
        <f>SUM(Funding!$O$10:$R$10)</f>
        <v>32.967032967032971</v>
      </c>
      <c r="V11" s="90">
        <f>Funding!$M$11</f>
        <v>72</v>
      </c>
      <c r="W11" s="269">
        <f>Funding!$W$10</f>
        <v>6.4394075844395882E-2</v>
      </c>
      <c r="X11" s="270"/>
    </row>
    <row r="12" spans="1:29" ht="13.8" customHeight="1" x14ac:dyDescent="0.3">
      <c r="C12" s="111" t="s">
        <v>73</v>
      </c>
      <c r="D12" s="155"/>
      <c r="E12" s="149"/>
      <c r="F12" s="143"/>
      <c r="G12" s="157"/>
      <c r="H12" s="129"/>
      <c r="I12" s="129"/>
      <c r="J12" s="111" t="s">
        <v>166</v>
      </c>
      <c r="K12" s="159"/>
      <c r="L12" s="160"/>
      <c r="M12" s="161"/>
      <c r="N12" s="129"/>
      <c r="O12" s="112" t="s">
        <v>122</v>
      </c>
      <c r="P12" s="460">
        <v>625</v>
      </c>
      <c r="Q12" s="460">
        <v>720</v>
      </c>
      <c r="R12" s="460">
        <v>500</v>
      </c>
      <c r="S12" s="129"/>
      <c r="T12" s="271" t="s">
        <v>154</v>
      </c>
      <c r="U12" s="91">
        <f>SUM(Funding!$O$13:$R$13)</f>
        <v>449.57852013737119</v>
      </c>
      <c r="V12" s="91">
        <f>Funding!$M$14</f>
        <v>115</v>
      </c>
      <c r="W12" s="92">
        <f>Funding!$W$13</f>
        <v>0.10285164891813231</v>
      </c>
      <c r="X12" s="272"/>
    </row>
    <row r="13" spans="1:29" ht="13.8" customHeight="1" x14ac:dyDescent="0.3">
      <c r="A13" s="4"/>
      <c r="B13" s="4"/>
      <c r="C13" s="108" t="s">
        <v>141</v>
      </c>
      <c r="D13" s="494">
        <v>35</v>
      </c>
      <c r="E13" s="150"/>
      <c r="F13" s="144"/>
      <c r="G13" s="157"/>
      <c r="H13" s="108"/>
      <c r="I13" s="108"/>
      <c r="J13" s="28" t="s">
        <v>96</v>
      </c>
      <c r="K13" s="491">
        <v>3500</v>
      </c>
      <c r="L13" s="490">
        <v>0.06</v>
      </c>
      <c r="M13" s="162"/>
      <c r="N13" s="129"/>
      <c r="O13" s="111" t="s">
        <v>260</v>
      </c>
      <c r="P13" s="135"/>
      <c r="Q13" s="135"/>
      <c r="R13" s="135"/>
      <c r="S13" s="129"/>
      <c r="T13" s="171" t="s">
        <v>148</v>
      </c>
      <c r="U13" s="89">
        <f>Funding!$R$11</f>
        <v>0</v>
      </c>
      <c r="V13" s="89">
        <f>Funding!$M$12</f>
        <v>200</v>
      </c>
      <c r="W13" s="92">
        <f>Funding!$W$11</f>
        <v>0.17887243290109966</v>
      </c>
      <c r="X13" s="172"/>
    </row>
    <row r="14" spans="1:29" ht="13.8" customHeight="1" x14ac:dyDescent="0.3">
      <c r="C14" s="108" t="s">
        <v>140</v>
      </c>
      <c r="D14" s="284"/>
      <c r="E14" s="461">
        <v>50</v>
      </c>
      <c r="F14" s="462">
        <v>250</v>
      </c>
      <c r="G14" s="461">
        <v>600</v>
      </c>
      <c r="H14" s="103" t="s">
        <v>200</v>
      </c>
      <c r="I14" s="129"/>
      <c r="J14" s="28" t="s">
        <v>97</v>
      </c>
      <c r="K14" s="463">
        <v>2800</v>
      </c>
      <c r="L14" s="464">
        <v>0.05</v>
      </c>
      <c r="M14" s="153"/>
      <c r="N14" s="129"/>
      <c r="O14" s="113" t="s">
        <v>209</v>
      </c>
      <c r="P14" s="465">
        <v>0.08</v>
      </c>
      <c r="Q14" s="63"/>
      <c r="R14" s="135"/>
      <c r="S14" s="129"/>
      <c r="T14" s="173" t="s">
        <v>149</v>
      </c>
      <c r="U14" s="91">
        <f>Funding!$R$12</f>
        <v>75</v>
      </c>
      <c r="V14" s="91">
        <f>Funding!$M$13</f>
        <v>588.71527777777783</v>
      </c>
      <c r="W14" s="93">
        <f>Funding!$W$12</f>
        <v>0.52652467011078907</v>
      </c>
      <c r="X14" s="174"/>
    </row>
    <row r="15" spans="1:29" ht="13.8" customHeight="1" x14ac:dyDescent="0.3">
      <c r="A15" s="4"/>
      <c r="B15" s="4"/>
      <c r="C15" s="111" t="s">
        <v>11</v>
      </c>
      <c r="D15" s="154">
        <f>IFERROR(Funding!O$18*(1-$D17),"")</f>
        <v>0.315</v>
      </c>
      <c r="E15" s="147">
        <f>IFERROR(Funding!P$18*(1-$D17),"")</f>
        <v>0.45</v>
      </c>
      <c r="F15" s="146">
        <f>IFERROR(Funding!Q$18*(1-$D17),"")</f>
        <v>0.49450549450549458</v>
      </c>
      <c r="G15" s="158">
        <f>IFERROR(Funding!R$18*(1-$D17),"")</f>
        <v>0.67436778020605681</v>
      </c>
      <c r="H15" s="256">
        <f>SUMPRODUCT($D$15:$G$15,$D$16:$G$16)/SUM($D$16:$G$16)</f>
        <v>0.48346831867788786</v>
      </c>
      <c r="I15" s="108"/>
      <c r="J15" s="28" t="s">
        <v>218</v>
      </c>
      <c r="K15" s="463">
        <v>325</v>
      </c>
      <c r="L15" s="464">
        <v>0.08</v>
      </c>
      <c r="M15" s="162"/>
      <c r="N15" s="129"/>
      <c r="O15" s="113" t="s">
        <v>132</v>
      </c>
      <c r="P15" s="466">
        <v>1.2</v>
      </c>
      <c r="Q15" s="135"/>
      <c r="R15" s="135"/>
      <c r="S15" s="129"/>
      <c r="T15" s="243" t="s">
        <v>150</v>
      </c>
      <c r="U15" s="244">
        <f>Funding!$R$15</f>
        <v>21.266337190751802</v>
      </c>
      <c r="V15" s="244">
        <f>Funding!$H$15</f>
        <v>28.381699175824174</v>
      </c>
      <c r="W15" s="245">
        <f>Funding!$W$15</f>
        <v>2.5383517907234025E-2</v>
      </c>
      <c r="X15" s="175"/>
    </row>
    <row r="16" spans="1:29" ht="13.8" customHeight="1" x14ac:dyDescent="0.3">
      <c r="C16" s="108" t="s">
        <v>79</v>
      </c>
      <c r="D16" s="495">
        <v>20</v>
      </c>
      <c r="E16" s="468">
        <v>20</v>
      </c>
      <c r="F16" s="467">
        <v>20</v>
      </c>
      <c r="G16" s="467">
        <v>20</v>
      </c>
      <c r="H16" s="129"/>
      <c r="I16" s="129"/>
      <c r="J16" s="28" t="s">
        <v>98</v>
      </c>
      <c r="K16" s="463">
        <v>25</v>
      </c>
      <c r="L16" s="464">
        <v>0.04</v>
      </c>
      <c r="M16" s="153"/>
      <c r="N16" s="129"/>
      <c r="O16" s="108" t="s">
        <v>120</v>
      </c>
      <c r="P16" s="469">
        <v>0.05</v>
      </c>
      <c r="Q16" s="135"/>
      <c r="R16" s="135"/>
      <c r="S16" s="129"/>
      <c r="T16" s="417" t="s">
        <v>82</v>
      </c>
      <c r="U16" s="417"/>
      <c r="V16" s="417"/>
      <c r="W16" s="417"/>
      <c r="X16" s="102"/>
    </row>
    <row r="17" spans="1:24" ht="13.8" customHeight="1" x14ac:dyDescent="0.3">
      <c r="A17" s="4"/>
      <c r="B17" s="4"/>
      <c r="C17" s="108" t="s">
        <v>80</v>
      </c>
      <c r="D17" s="470">
        <v>0.1</v>
      </c>
      <c r="E17" s="145"/>
      <c r="F17" s="143"/>
      <c r="G17" s="151"/>
      <c r="H17" s="108"/>
      <c r="I17" s="108"/>
      <c r="J17" s="28" t="s">
        <v>99</v>
      </c>
      <c r="K17" s="471">
        <v>75</v>
      </c>
      <c r="L17" s="472">
        <v>0.1</v>
      </c>
      <c r="M17" s="163"/>
      <c r="N17" s="129"/>
      <c r="O17" s="28" t="s">
        <v>123</v>
      </c>
      <c r="P17" s="488">
        <v>0.02</v>
      </c>
      <c r="Q17" s="135"/>
      <c r="R17" s="135"/>
      <c r="S17" s="129"/>
      <c r="T17" s="418"/>
      <c r="U17" s="418"/>
      <c r="V17" s="418"/>
      <c r="W17" s="418"/>
      <c r="X17" s="127"/>
    </row>
    <row r="18" spans="1:24" s="55" customFormat="1" ht="13.8" customHeight="1" x14ac:dyDescent="0.3">
      <c r="A18" s="104"/>
      <c r="C18" s="72" t="s">
        <v>208</v>
      </c>
      <c r="D18" s="156"/>
      <c r="E18" s="148"/>
      <c r="F18" s="148"/>
      <c r="G18" s="152"/>
      <c r="H18" s="126"/>
      <c r="I18" s="126"/>
      <c r="J18" s="72" t="s">
        <v>133</v>
      </c>
      <c r="K18" s="136"/>
      <c r="L18" s="126"/>
      <c r="M18" s="126"/>
      <c r="N18" s="126"/>
      <c r="O18" s="72" t="s">
        <v>85</v>
      </c>
      <c r="P18" s="136"/>
      <c r="Q18" s="75"/>
      <c r="R18" s="136"/>
      <c r="S18" s="126"/>
      <c r="T18" s="176" t="s">
        <v>155</v>
      </c>
      <c r="U18" s="177" t="s">
        <v>143</v>
      </c>
      <c r="V18" s="178" t="s">
        <v>78</v>
      </c>
      <c r="W18" s="178" t="s">
        <v>38</v>
      </c>
      <c r="X18" s="190"/>
    </row>
    <row r="19" spans="1:24" ht="13.8" customHeight="1" x14ac:dyDescent="0.3">
      <c r="A19" s="4"/>
      <c r="B19" s="4"/>
      <c r="C19" s="108" t="s">
        <v>142</v>
      </c>
      <c r="D19" s="496">
        <v>100</v>
      </c>
      <c r="E19" s="474">
        <v>100</v>
      </c>
      <c r="F19" s="473">
        <v>75</v>
      </c>
      <c r="G19" s="285"/>
      <c r="H19" s="108"/>
      <c r="I19" s="108"/>
      <c r="J19" s="28" t="s">
        <v>134</v>
      </c>
      <c r="K19" s="475">
        <v>0.8</v>
      </c>
      <c r="L19" s="129"/>
      <c r="M19" s="135"/>
      <c r="N19" s="129"/>
      <c r="O19" s="113" t="s">
        <v>153</v>
      </c>
      <c r="P19" s="53">
        <f>Funding!R18</f>
        <v>0.74929753356228534</v>
      </c>
      <c r="Q19" s="135"/>
      <c r="R19" s="135"/>
      <c r="S19" s="129"/>
      <c r="T19" s="179" t="s">
        <v>162</v>
      </c>
      <c r="U19" s="191"/>
      <c r="V19" s="95"/>
      <c r="W19" s="95"/>
      <c r="X19" s="180"/>
    </row>
    <row r="20" spans="1:24" ht="13.8" customHeight="1" x14ac:dyDescent="0.3">
      <c r="C20" s="108" t="s">
        <v>80</v>
      </c>
      <c r="D20" s="476">
        <v>0.2</v>
      </c>
      <c r="E20" s="477">
        <v>0.2</v>
      </c>
      <c r="F20" s="476">
        <v>0.1</v>
      </c>
      <c r="G20" s="286"/>
      <c r="H20" s="129"/>
      <c r="I20" s="129"/>
      <c r="J20" s="28" t="s">
        <v>135</v>
      </c>
      <c r="K20" s="478">
        <v>0.7</v>
      </c>
      <c r="L20" s="135"/>
      <c r="M20" s="135"/>
      <c r="N20" s="129"/>
      <c r="O20" s="113" t="s">
        <v>114</v>
      </c>
      <c r="P20" s="489">
        <v>0.7</v>
      </c>
      <c r="Q20" s="135"/>
      <c r="R20" s="135"/>
      <c r="S20" s="129"/>
      <c r="T20" s="184" t="s">
        <v>156</v>
      </c>
      <c r="U20" s="94" t="s">
        <v>72</v>
      </c>
      <c r="V20" s="95">
        <f>Funding!$H$14</f>
        <v>1118.1152777777777</v>
      </c>
      <c r="W20" s="95">
        <f>Funding!$R$16</f>
        <v>1145.844857328123</v>
      </c>
      <c r="X20" s="181"/>
    </row>
    <row r="21" spans="1:24" ht="13.8" customHeight="1" x14ac:dyDescent="0.3">
      <c r="A21" s="4"/>
      <c r="C21" s="108" t="s">
        <v>81</v>
      </c>
      <c r="D21" s="455">
        <v>1000</v>
      </c>
      <c r="E21" s="457">
        <v>1000</v>
      </c>
      <c r="F21" s="455">
        <v>800</v>
      </c>
      <c r="G21" s="285"/>
      <c r="H21" s="108"/>
      <c r="I21" s="108"/>
      <c r="J21" s="111" t="s">
        <v>126</v>
      </c>
      <c r="K21" s="135"/>
      <c r="L21" s="135"/>
      <c r="M21" s="135"/>
      <c r="N21" s="129"/>
      <c r="O21" s="111" t="s">
        <v>163</v>
      </c>
      <c r="P21" s="135"/>
      <c r="Q21" s="135"/>
      <c r="R21" s="135"/>
      <c r="S21" s="129"/>
      <c r="T21" s="182" t="s">
        <v>157</v>
      </c>
      <c r="U21" s="96" t="s">
        <v>72</v>
      </c>
      <c r="V21" s="97">
        <f>Funding!$H$16</f>
        <v>1146.4969769536019</v>
      </c>
      <c r="W21" s="97">
        <f>Valuation!$F$11</f>
        <v>859.06735706795018</v>
      </c>
      <c r="X21" s="183"/>
    </row>
    <row r="22" spans="1:24" ht="13.8" customHeight="1" x14ac:dyDescent="0.3">
      <c r="C22" s="111" t="s">
        <v>77</v>
      </c>
      <c r="D22" s="155"/>
      <c r="E22" s="144"/>
      <c r="F22" s="144"/>
      <c r="G22" s="153"/>
      <c r="H22" s="128"/>
      <c r="I22" s="128"/>
      <c r="J22" s="28" t="s">
        <v>136</v>
      </c>
      <c r="K22" s="492">
        <v>60</v>
      </c>
      <c r="L22" s="135"/>
      <c r="M22" s="135"/>
      <c r="N22" s="129"/>
      <c r="O22" s="113" t="s">
        <v>116</v>
      </c>
      <c r="P22" s="447">
        <v>100</v>
      </c>
      <c r="Q22" s="135"/>
      <c r="R22" s="135"/>
      <c r="S22" s="129"/>
      <c r="T22" s="179" t="s">
        <v>170</v>
      </c>
      <c r="U22" s="94"/>
      <c r="V22" s="95"/>
      <c r="W22" s="95"/>
      <c r="X22" s="180"/>
    </row>
    <row r="23" spans="1:24" ht="13.8" customHeight="1" x14ac:dyDescent="0.3">
      <c r="C23" s="108" t="s">
        <v>94</v>
      </c>
      <c r="D23" s="287"/>
      <c r="E23" s="479">
        <v>1.5</v>
      </c>
      <c r="F23" s="479">
        <v>1.2</v>
      </c>
      <c r="G23" s="288"/>
      <c r="H23" s="108"/>
      <c r="I23" s="108"/>
      <c r="J23" s="28" t="s">
        <v>137</v>
      </c>
      <c r="K23" s="480">
        <v>100</v>
      </c>
      <c r="L23" s="135"/>
      <c r="M23" s="135"/>
      <c r="N23" s="129"/>
      <c r="O23" s="113" t="s">
        <v>115</v>
      </c>
      <c r="P23" s="454">
        <v>100</v>
      </c>
      <c r="Q23" s="135"/>
      <c r="R23" s="135"/>
      <c r="S23" s="129"/>
      <c r="T23" s="184" t="s">
        <v>211</v>
      </c>
      <c r="U23" s="94" t="s">
        <v>72</v>
      </c>
      <c r="V23" s="95">
        <f>Factors!$D$13</f>
        <v>1318.1152777777777</v>
      </c>
      <c r="W23" s="95">
        <f>Valuation!$I$11</f>
        <v>922.68069444444427</v>
      </c>
      <c r="X23" s="181"/>
    </row>
    <row r="24" spans="1:24" ht="13.8" customHeight="1" x14ac:dyDescent="0.3">
      <c r="C24" s="108" t="s">
        <v>95</v>
      </c>
      <c r="D24" s="289"/>
      <c r="E24" s="481">
        <v>1.2</v>
      </c>
      <c r="F24" s="481">
        <v>1.2</v>
      </c>
      <c r="G24" s="290"/>
      <c r="H24" s="129"/>
      <c r="I24" s="129"/>
      <c r="J24" s="141" t="s">
        <v>167</v>
      </c>
      <c r="K24" s="135"/>
      <c r="L24" s="135"/>
      <c r="M24" s="135"/>
      <c r="N24" s="129"/>
      <c r="O24" s="114" t="s">
        <v>117</v>
      </c>
      <c r="P24" s="482">
        <v>20</v>
      </c>
      <c r="R24" s="135"/>
      <c r="S24" s="129"/>
      <c r="T24" s="182" t="s">
        <v>212</v>
      </c>
      <c r="U24" s="96" t="s">
        <v>72</v>
      </c>
      <c r="V24" s="97">
        <f>Factors!$D$20</f>
        <v>1344.8875395933171</v>
      </c>
      <c r="W24" s="97">
        <f>Valuation!$I$24</f>
        <v>863.42127771532193</v>
      </c>
      <c r="X24" s="183"/>
    </row>
    <row r="25" spans="1:24" ht="13.8" customHeight="1" x14ac:dyDescent="0.3">
      <c r="C25" s="108"/>
      <c r="D25" s="108"/>
      <c r="E25" s="108"/>
      <c r="F25" s="108"/>
      <c r="G25" s="108"/>
      <c r="H25" s="108"/>
      <c r="I25" s="108"/>
      <c r="J25" s="28" t="s">
        <v>168</v>
      </c>
      <c r="K25" s="483">
        <v>0.4</v>
      </c>
      <c r="L25" s="135"/>
      <c r="M25" s="129"/>
      <c r="N25" s="129"/>
      <c r="O25" s="111" t="s">
        <v>11</v>
      </c>
      <c r="P25" s="258" t="s">
        <v>206</v>
      </c>
      <c r="Q25" s="259">
        <f>MIN($P$26,MAX(SUM($D$16:$G$16)-$P$26,0))</f>
        <v>20</v>
      </c>
      <c r="R25" s="135"/>
      <c r="S25" s="129"/>
      <c r="T25" s="179" t="s">
        <v>171</v>
      </c>
      <c r="U25" s="94"/>
      <c r="V25" s="98"/>
      <c r="W25" s="95"/>
      <c r="X25" s="180"/>
    </row>
    <row r="26" spans="1:24" ht="13.8" customHeight="1" x14ac:dyDescent="0.3"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13" t="s">
        <v>118</v>
      </c>
      <c r="P26" s="447">
        <v>20</v>
      </c>
      <c r="Q26" s="259">
        <f>MIN($P$26,MAX(SUM($D$16:$G$16)-SUM($P$26,Q$25:Q25),0))</f>
        <v>20</v>
      </c>
      <c r="R26" s="135"/>
      <c r="S26" s="129"/>
      <c r="T26" s="184" t="s">
        <v>158</v>
      </c>
      <c r="U26" s="94" t="s">
        <v>71</v>
      </c>
      <c r="V26" s="98"/>
      <c r="W26" s="95">
        <f>IFERROR(Valuation!$L$13,"")</f>
        <v>3137.7551020408164</v>
      </c>
      <c r="X26" s="181"/>
    </row>
    <row r="27" spans="1:24" ht="13.8" customHeight="1" x14ac:dyDescent="0.3">
      <c r="A27" s="4"/>
      <c r="C27" s="129"/>
      <c r="D27" s="129"/>
      <c r="E27" s="129"/>
      <c r="F27" s="129"/>
      <c r="G27" s="129"/>
      <c r="H27" s="291"/>
      <c r="I27" s="291"/>
      <c r="J27" s="129"/>
      <c r="K27" s="135"/>
      <c r="N27" s="129"/>
      <c r="O27" s="113" t="s">
        <v>127</v>
      </c>
      <c r="P27" s="454">
        <v>125</v>
      </c>
      <c r="Q27" s="259">
        <f>MIN($P$26,MAX(SUM($D$16:$G$16)-SUM($P$26,Q$25:Q26),0))</f>
        <v>20</v>
      </c>
      <c r="R27" s="135"/>
      <c r="S27" s="129"/>
      <c r="T27" s="182" t="s">
        <v>159</v>
      </c>
      <c r="U27" s="96" t="s">
        <v>72</v>
      </c>
      <c r="V27" s="99"/>
      <c r="W27" s="97">
        <f>IFERROR(Valuation!$L$24,"")</f>
        <v>2843.3350772357735</v>
      </c>
      <c r="X27" s="183"/>
    </row>
    <row r="28" spans="1:24" ht="13.8" customHeight="1" x14ac:dyDescent="0.3">
      <c r="C28" s="108"/>
      <c r="D28" s="128"/>
      <c r="E28" s="128"/>
      <c r="F28" s="128"/>
      <c r="G28" s="128"/>
      <c r="H28" s="128"/>
      <c r="I28" s="128"/>
      <c r="J28" s="129"/>
      <c r="K28" s="129"/>
      <c r="L28" s="129"/>
      <c r="M28" s="129"/>
      <c r="N28" s="129"/>
      <c r="O28" s="113" t="s">
        <v>119</v>
      </c>
      <c r="P28" s="484">
        <f>P19*0.9</f>
        <v>0.67436778020605681</v>
      </c>
      <c r="Q28" s="259">
        <f>MIN($P$26,MAX(SUM($D$16:$G$16)-SUM($P$26,Q$25:Q27),0))</f>
        <v>0</v>
      </c>
      <c r="R28" s="135"/>
      <c r="S28" s="129"/>
      <c r="T28" s="179" t="s">
        <v>172</v>
      </c>
      <c r="U28" s="94"/>
      <c r="V28" s="98"/>
      <c r="W28" s="95"/>
      <c r="X28" s="180"/>
    </row>
    <row r="29" spans="1:24" ht="13.8" customHeight="1" x14ac:dyDescent="0.3">
      <c r="C29" s="129"/>
      <c r="D29" s="129"/>
      <c r="E29" s="129"/>
      <c r="F29" s="129"/>
      <c r="G29" s="128"/>
      <c r="H29" s="129"/>
      <c r="I29" s="129"/>
      <c r="J29" s="129"/>
      <c r="K29" s="135"/>
      <c r="L29" s="135"/>
      <c r="M29" s="129"/>
      <c r="N29" s="129"/>
      <c r="O29" s="129"/>
      <c r="P29" s="129"/>
      <c r="R29" s="129"/>
      <c r="S29" s="129"/>
      <c r="T29" s="184" t="s">
        <v>160</v>
      </c>
      <c r="U29" s="94" t="s">
        <v>71</v>
      </c>
      <c r="V29" s="98"/>
      <c r="W29" s="95">
        <f>IFERROR(Valuation!$O$13,"")</f>
        <v>699.2975005974755</v>
      </c>
      <c r="X29" s="181"/>
    </row>
    <row r="30" spans="1:24" ht="13.8" customHeight="1" x14ac:dyDescent="0.3">
      <c r="C30" s="129"/>
      <c r="D30" s="129"/>
      <c r="E30" s="129"/>
      <c r="F30" s="129"/>
      <c r="G30" s="128"/>
      <c r="H30" s="129"/>
      <c r="I30" s="129"/>
      <c r="J30" s="129"/>
      <c r="K30" s="135"/>
      <c r="L30" s="135"/>
      <c r="M30" s="135"/>
      <c r="N30" s="135"/>
      <c r="O30" s="129"/>
      <c r="P30" s="129"/>
      <c r="Q30" s="129"/>
      <c r="R30" s="129"/>
      <c r="S30" s="129"/>
      <c r="T30" s="185" t="s">
        <v>161</v>
      </c>
      <c r="U30" s="186" t="s">
        <v>72</v>
      </c>
      <c r="V30" s="187"/>
      <c r="W30" s="188">
        <f>IFERROR(Valuation!$O$27,"")</f>
        <v>490.96686697103326</v>
      </c>
      <c r="X30" s="189"/>
    </row>
  </sheetData>
  <sheetProtection algorithmName="SHA-512" hashValue="Hl/o5886GpUQ3tHnB6zt7anHbZ9WKkKOEIdnzyKqLvtDOlZ8gGqLdEg9CNtXostzUQZizhzm9EyoEDP/pjxCMA==" saltValue="AtMcxOHWU0plcmX24QHicw==" spinCount="100000" sheet="1" objects="1" scenarios="1" selectLockedCells="1"/>
  <mergeCells count="5">
    <mergeCell ref="T16:W17"/>
    <mergeCell ref="C6:G6"/>
    <mergeCell ref="J6:M6"/>
    <mergeCell ref="O6:R6"/>
    <mergeCell ref="T6:X7"/>
  </mergeCells>
  <phoneticPr fontId="10" type="noConversion"/>
  <dataValidations disablePrompts="1" count="1">
    <dataValidation type="custom" allowBlank="1" showInputMessage="1" showErrorMessage="1" error="Exceeds number of options granted" sqref="P26" xr:uid="{2FD498B7-2D2D-401B-B62C-69B975917512}">
      <formula1>IF(P26&gt;SUM(D16:G25),FALSE,TRUE)</formula1>
    </dataValidation>
  </dataValidations>
  <printOptions horizontalCentered="1"/>
  <pageMargins left="0.5" right="0.5" top="0.75" bottom="0.75" header="0.3" footer="0.3"/>
  <pageSetup scale="72" orientation="landscape" r:id="rId1"/>
  <headerFooter scaleWithDoc="0" alignWithMargins="0">
    <oddFooter>&amp;L&amp;10Drivers&amp;R&amp;10Updated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7825" r:id="rId4" name="Check Box 1">
              <controlPr defaultSize="0" autoFill="0" autoLine="0" autoPict="0">
                <anchor moveWithCells="1">
                  <from>
                    <xdr:col>2</xdr:col>
                    <xdr:colOff>525780</xdr:colOff>
                    <xdr:row>8</xdr:row>
                    <xdr:rowOff>7620</xdr:rowOff>
                  </from>
                  <to>
                    <xdr:col>2</xdr:col>
                    <xdr:colOff>723900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error="Exceeds number of shares outstanding" xr:uid="{EBCEFE32-0A49-4603-B9FF-D60426DA0BF5}">
          <x14:formula1>
            <xm:f>IF(P24&gt;Funding!$H$14,FALSE,TRUE)</xm:f>
          </x14:formula1>
          <xm:sqref>P24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AB43-BD64-4F42-B02D-F940B0EED5FE}">
  <sheetPr>
    <tabColor theme="9" tint="0.79998168889431442"/>
    <pageSetUpPr fitToPage="1"/>
  </sheetPr>
  <dimension ref="A1:AC29"/>
  <sheetViews>
    <sheetView showGridLines="0" showRowColHeaders="0" zoomScaleNormal="100" zoomScaleSheetLayoutView="55" workbookViewId="0">
      <selection activeCell="AB25" sqref="AB25:AB29"/>
    </sheetView>
  </sheetViews>
  <sheetFormatPr defaultColWidth="10" defaultRowHeight="10.199999999999999" x14ac:dyDescent="0.2"/>
  <cols>
    <col min="1" max="1" width="3.21875" style="49" bestFit="1" customWidth="1"/>
    <col min="2" max="2" width="4.77734375" style="49" customWidth="1"/>
    <col min="3" max="3" width="10.88671875" style="49" customWidth="1"/>
    <col min="4" max="4" width="4.33203125" style="49" customWidth="1"/>
    <col min="5" max="6" width="9" style="49" customWidth="1"/>
    <col min="7" max="7" width="9" style="281" customWidth="1"/>
    <col min="8" max="8" width="9" style="282" customWidth="1"/>
    <col min="9" max="9" width="4.44140625" style="49" hidden="1" customWidth="1"/>
    <col min="10" max="10" width="4.109375" style="52" hidden="1" customWidth="1"/>
    <col min="11" max="12" width="5" style="52" hidden="1" customWidth="1"/>
    <col min="13" max="13" width="5.109375" style="52" hidden="1" customWidth="1"/>
    <col min="14" max="14" width="6.5546875" style="49" customWidth="1"/>
    <col min="15" max="16" width="9" style="49" customWidth="1"/>
    <col min="17" max="17" width="9" style="2" customWidth="1"/>
    <col min="18" max="18" width="7.5546875" style="283" customWidth="1"/>
    <col min="19" max="19" width="6.5546875" style="49" customWidth="1"/>
    <col min="20" max="21" width="8.21875" style="49" customWidth="1"/>
    <col min="22" max="22" width="8.21875" style="52" customWidth="1"/>
    <col min="23" max="23" width="8.21875" style="282" customWidth="1"/>
    <col min="24" max="24" width="6.5546875" style="49" customWidth="1"/>
    <col min="25" max="25" width="12" style="20" bestFit="1" customWidth="1"/>
    <col min="26" max="28" width="8.5546875" style="59" customWidth="1"/>
    <col min="29" max="29" width="0.88671875" style="59" customWidth="1"/>
    <col min="30" max="16384" width="10" style="49"/>
  </cols>
  <sheetData>
    <row r="1" spans="1:29" s="6" customFormat="1" x14ac:dyDescent="0.2">
      <c r="A1" s="49" t="s">
        <v>7</v>
      </c>
      <c r="B1" s="5"/>
      <c r="C1" s="5"/>
    </row>
    <row r="2" spans="1:29" ht="13.8" customHeight="1" x14ac:dyDescent="0.2">
      <c r="A2" s="7"/>
      <c r="B2" s="7"/>
      <c r="C2" s="4"/>
      <c r="D2" s="4"/>
      <c r="E2" s="2"/>
      <c r="F2" s="2"/>
      <c r="G2" s="2"/>
      <c r="H2" s="2"/>
      <c r="I2" s="2"/>
      <c r="J2" s="2"/>
      <c r="K2" s="2"/>
      <c r="L2" s="65"/>
      <c r="M2" s="49"/>
      <c r="N2" s="65"/>
      <c r="O2" s="2"/>
      <c r="P2" s="2"/>
      <c r="R2" s="2"/>
      <c r="S2" s="2"/>
      <c r="T2" s="2"/>
      <c r="V2" s="49"/>
      <c r="W2" s="49"/>
      <c r="Y2" s="49"/>
      <c r="Z2" s="49"/>
      <c r="AA2" s="49"/>
      <c r="AB2" s="49"/>
      <c r="AC2" s="49"/>
    </row>
    <row r="3" spans="1:29" s="2" customFormat="1" ht="31.8" customHeight="1" x14ac:dyDescent="0.45">
      <c r="A3" s="7"/>
      <c r="B3" s="7"/>
      <c r="C3" s="416" t="s">
        <v>30</v>
      </c>
      <c r="D3" s="416"/>
      <c r="E3" s="7"/>
      <c r="Q3" s="7"/>
      <c r="S3" s="82"/>
      <c r="T3" s="82"/>
      <c r="U3" s="82"/>
    </row>
    <row r="4" spans="1:29" s="55" customFormat="1" ht="7.8" customHeight="1" x14ac:dyDescent="0.3">
      <c r="A4" s="78"/>
      <c r="B4" s="78"/>
      <c r="G4" s="235"/>
      <c r="L4" s="80"/>
      <c r="S4" s="236"/>
      <c r="U4" s="80"/>
    </row>
    <row r="5" spans="1:29" s="240" customFormat="1" ht="16.8" x14ac:dyDescent="0.3">
      <c r="A5" s="73"/>
      <c r="B5" s="74"/>
      <c r="E5" s="419" t="s">
        <v>78</v>
      </c>
      <c r="F5" s="419"/>
      <c r="G5" s="419"/>
      <c r="H5" s="419"/>
      <c r="I5" s="276"/>
      <c r="J5" s="239"/>
      <c r="K5" s="239"/>
      <c r="L5" s="239"/>
      <c r="M5" s="239"/>
      <c r="N5" s="50"/>
      <c r="O5" s="419" t="s">
        <v>73</v>
      </c>
      <c r="P5" s="419"/>
      <c r="Q5" s="419"/>
      <c r="R5" s="419"/>
      <c r="S5" s="50"/>
      <c r="T5" s="419" t="s">
        <v>130</v>
      </c>
      <c r="U5" s="419"/>
      <c r="V5" s="419"/>
      <c r="W5" s="419"/>
      <c r="X5" s="50"/>
      <c r="Y5" s="421" t="s">
        <v>147</v>
      </c>
      <c r="Z5" s="421"/>
      <c r="AA5" s="421"/>
      <c r="AB5" s="421"/>
      <c r="AC5" s="421"/>
    </row>
    <row r="6" spans="1:29" ht="3.6" customHeight="1" x14ac:dyDescent="0.2">
      <c r="G6" s="282"/>
      <c r="T6" s="390"/>
      <c r="U6" s="390"/>
      <c r="V6" s="390"/>
      <c r="W6" s="390"/>
      <c r="X6" s="390"/>
      <c r="Y6" s="422"/>
      <c r="Z6" s="422"/>
      <c r="AA6" s="422"/>
      <c r="AB6" s="422"/>
      <c r="AC6" s="422"/>
    </row>
    <row r="7" spans="1:29" s="55" customFormat="1" ht="15" customHeight="1" x14ac:dyDescent="0.3">
      <c r="A7" s="24"/>
      <c r="B7" s="24"/>
      <c r="C7" s="126"/>
      <c r="D7" s="126"/>
      <c r="E7" s="241" t="s">
        <v>8</v>
      </c>
      <c r="F7" s="241" t="s">
        <v>0</v>
      </c>
      <c r="G7" s="241" t="s">
        <v>1</v>
      </c>
      <c r="H7" s="242" t="s">
        <v>5</v>
      </c>
      <c r="I7" s="277"/>
      <c r="J7" s="125" t="s">
        <v>8</v>
      </c>
      <c r="K7" s="125" t="s">
        <v>112</v>
      </c>
      <c r="L7" s="125" t="s">
        <v>113</v>
      </c>
      <c r="M7" s="125" t="s">
        <v>5</v>
      </c>
      <c r="N7" s="126"/>
      <c r="O7" s="241" t="s">
        <v>8</v>
      </c>
      <c r="P7" s="241" t="s">
        <v>0</v>
      </c>
      <c r="Q7" s="241" t="s">
        <v>1</v>
      </c>
      <c r="R7" s="242" t="s">
        <v>5</v>
      </c>
      <c r="S7" s="126"/>
      <c r="T7" s="371" t="s">
        <v>8</v>
      </c>
      <c r="U7" s="372" t="s">
        <v>0</v>
      </c>
      <c r="V7" s="241" t="s">
        <v>1</v>
      </c>
      <c r="W7" s="373" t="s">
        <v>5</v>
      </c>
      <c r="X7" s="374"/>
      <c r="Y7" s="176" t="s">
        <v>191</v>
      </c>
      <c r="Z7" s="178" t="s">
        <v>146</v>
      </c>
      <c r="AA7" s="178" t="s">
        <v>78</v>
      </c>
      <c r="AB7" s="178" t="s">
        <v>144</v>
      </c>
      <c r="AC7" s="190"/>
    </row>
    <row r="8" spans="1:29" ht="13.8" customHeight="1" x14ac:dyDescent="0.3">
      <c r="C8" s="105" t="s">
        <v>26</v>
      </c>
      <c r="D8" s="108"/>
      <c r="E8" s="278">
        <f>Drivers!D10</f>
        <v>50</v>
      </c>
      <c r="F8" s="66"/>
      <c r="G8" s="278"/>
      <c r="H8" s="278"/>
      <c r="I8" s="128"/>
      <c r="J8" s="130"/>
      <c r="K8" s="130"/>
      <c r="L8" s="130"/>
      <c r="M8" s="130"/>
      <c r="N8" s="128"/>
      <c r="O8" s="278">
        <f>Drivers!D13</f>
        <v>35</v>
      </c>
      <c r="P8" s="66"/>
      <c r="Q8" s="278"/>
      <c r="R8" s="278"/>
      <c r="S8" s="128"/>
      <c r="T8" s="137">
        <f t="shared" ref="T8:W15" si="0">J9/J$15</f>
        <v>0.5</v>
      </c>
      <c r="U8" s="137">
        <f t="shared" si="0"/>
        <v>0.10989010989010989</v>
      </c>
      <c r="V8" s="137">
        <f t="shared" si="0"/>
        <v>6.2441461130190445E-2</v>
      </c>
      <c r="W8" s="137">
        <f t="shared" si="0"/>
        <v>4.4718108225274916E-2</v>
      </c>
      <c r="X8" s="128"/>
      <c r="Y8" s="265" t="s">
        <v>145</v>
      </c>
      <c r="Z8" s="89">
        <f>SUM($O$8:$R$8)</f>
        <v>35</v>
      </c>
      <c r="AA8" s="89">
        <f>$M$9</f>
        <v>50</v>
      </c>
      <c r="AB8" s="266">
        <f>$W$8</f>
        <v>4.4718108225274916E-2</v>
      </c>
      <c r="AC8" s="267"/>
    </row>
    <row r="9" spans="1:29" ht="13.8" customHeight="1" x14ac:dyDescent="0.3">
      <c r="C9" s="107" t="s">
        <v>31</v>
      </c>
      <c r="D9" s="108"/>
      <c r="E9" s="84"/>
      <c r="F9" s="279">
        <f>Drivers!E10</f>
        <v>55</v>
      </c>
      <c r="G9" s="85">
        <f>IFERROR(IF(Drivers!H10=TRUE,((Drivers!E10/F14*(F14+Drivers!F10))-Drivers!E10)/(1-Drivers!E10/F14),0),"")</f>
        <v>8.2500000000000036</v>
      </c>
      <c r="H9" s="85"/>
      <c r="I9" s="108"/>
      <c r="J9" s="132">
        <f>SUM($E8:E8)</f>
        <v>50</v>
      </c>
      <c r="K9" s="132">
        <f>SUM($E8:F8)</f>
        <v>50</v>
      </c>
      <c r="L9" s="132">
        <f>SUM($E8:F8)</f>
        <v>50</v>
      </c>
      <c r="M9" s="132">
        <f>SUM($E8:F8)</f>
        <v>50</v>
      </c>
      <c r="N9" s="108"/>
      <c r="O9" s="67"/>
      <c r="P9" s="69">
        <f>IFERROR(Drivers!E10*P$18,"")</f>
        <v>27.5</v>
      </c>
      <c r="Q9" s="68">
        <f>IFERROR(G9*Q$18,"")</f>
        <v>4.5329670329670355</v>
      </c>
      <c r="R9" s="68"/>
      <c r="S9" s="166"/>
      <c r="T9" s="138">
        <f t="shared" si="0"/>
        <v>0</v>
      </c>
      <c r="U9" s="138">
        <f t="shared" si="0"/>
        <v>0.12087912087912088</v>
      </c>
      <c r="V9" s="138">
        <f t="shared" si="0"/>
        <v>7.8988448329690916E-2</v>
      </c>
      <c r="W9" s="138">
        <f t="shared" si="0"/>
        <v>8.2639064000308057E-2</v>
      </c>
      <c r="X9" s="108"/>
      <c r="Y9" s="265" t="s">
        <v>151</v>
      </c>
      <c r="Z9" s="89">
        <f>SUM($O$9:$R$9)</f>
        <v>32.032967032967036</v>
      </c>
      <c r="AA9" s="89">
        <f>$M$10</f>
        <v>92.4</v>
      </c>
      <c r="AB9" s="266">
        <f>$W$9</f>
        <v>8.2639064000308057E-2</v>
      </c>
      <c r="AC9" s="267"/>
    </row>
    <row r="10" spans="1:29" ht="13.8" customHeight="1" x14ac:dyDescent="0.3">
      <c r="A10" s="4"/>
      <c r="B10" s="4"/>
      <c r="C10" s="107" t="s">
        <v>32</v>
      </c>
      <c r="D10" s="108"/>
      <c r="E10" s="86"/>
      <c r="F10" s="87"/>
      <c r="G10" s="87">
        <f>Drivers!F10</f>
        <v>60</v>
      </c>
      <c r="H10" s="87"/>
      <c r="I10" s="128"/>
      <c r="J10" s="132"/>
      <c r="K10" s="132">
        <f>SUM($E9:F9)</f>
        <v>55</v>
      </c>
      <c r="L10" s="132">
        <f>SUM($E9:G9)</f>
        <v>63.25</v>
      </c>
      <c r="M10" s="132">
        <f>F9*Drivers!E23+G9*Drivers!F23</f>
        <v>92.4</v>
      </c>
      <c r="N10" s="28"/>
      <c r="O10" s="67"/>
      <c r="P10" s="69"/>
      <c r="Q10" s="69">
        <f>IFERROR(Drivers!F10*Q$18,"")</f>
        <v>32.967032967032971</v>
      </c>
      <c r="R10" s="69"/>
      <c r="S10" s="166"/>
      <c r="T10" s="138">
        <f t="shared" si="0"/>
        <v>0</v>
      </c>
      <c r="U10" s="138">
        <f t="shared" si="0"/>
        <v>0</v>
      </c>
      <c r="V10" s="138">
        <f t="shared" si="0"/>
        <v>7.4929753356228534E-2</v>
      </c>
      <c r="W10" s="138">
        <f t="shared" si="0"/>
        <v>6.4394075844395882E-2</v>
      </c>
      <c r="X10" s="28"/>
      <c r="Y10" s="268" t="s">
        <v>152</v>
      </c>
      <c r="Z10" s="90">
        <f>SUM($O$10:$R$10)</f>
        <v>32.967032967032971</v>
      </c>
      <c r="AA10" s="90">
        <f>$M$11</f>
        <v>72</v>
      </c>
      <c r="AB10" s="269">
        <f>$W$10</f>
        <v>6.4394075844395882E-2</v>
      </c>
      <c r="AC10" s="270"/>
    </row>
    <row r="11" spans="1:29" ht="13.8" customHeight="1" x14ac:dyDescent="0.3">
      <c r="A11" s="4"/>
      <c r="B11" s="4"/>
      <c r="C11" s="107" t="s">
        <v>24</v>
      </c>
      <c r="D11" s="108"/>
      <c r="E11" s="87">
        <f>Drivers!D11</f>
        <v>50</v>
      </c>
      <c r="F11" s="87">
        <f>Drivers!E11</f>
        <v>50</v>
      </c>
      <c r="G11" s="87">
        <f>Drivers!F11</f>
        <v>50</v>
      </c>
      <c r="H11" s="87">
        <f>Drivers!G11</f>
        <v>50</v>
      </c>
      <c r="I11" s="128"/>
      <c r="J11" s="132"/>
      <c r="K11" s="132">
        <f>SUM($E10:F10)</f>
        <v>0</v>
      </c>
      <c r="L11" s="132">
        <f>SUM($E10:G10)</f>
        <v>60</v>
      </c>
      <c r="M11" s="132">
        <f>G10*Drivers!F23</f>
        <v>72</v>
      </c>
      <c r="N11" s="128"/>
      <c r="O11" s="69"/>
      <c r="P11" s="69"/>
      <c r="Q11" s="69"/>
      <c r="R11" s="69"/>
      <c r="S11" s="166"/>
      <c r="T11" s="138">
        <f t="shared" si="0"/>
        <v>0.5</v>
      </c>
      <c r="U11" s="138">
        <f t="shared" si="0"/>
        <v>0.21978021978021978</v>
      </c>
      <c r="V11" s="138">
        <f t="shared" si="0"/>
        <v>0.18732438339057134</v>
      </c>
      <c r="W11" s="138">
        <f t="shared" si="0"/>
        <v>0.17887243290109966</v>
      </c>
      <c r="X11" s="128"/>
      <c r="Y11" s="271" t="s">
        <v>154</v>
      </c>
      <c r="Z11" s="91">
        <f>SUM($O$13:$R$13)</f>
        <v>449.57852013737119</v>
      </c>
      <c r="AA11" s="91">
        <f>$M$14</f>
        <v>115</v>
      </c>
      <c r="AB11" s="92">
        <f>$W$13</f>
        <v>0.10285164891813231</v>
      </c>
      <c r="AC11" s="272"/>
    </row>
    <row r="12" spans="1:29" ht="13.8" customHeight="1" x14ac:dyDescent="0.3">
      <c r="A12" s="4"/>
      <c r="B12" s="4"/>
      <c r="C12" s="109" t="s">
        <v>33</v>
      </c>
      <c r="D12" s="108"/>
      <c r="E12" s="87"/>
      <c r="F12" s="88">
        <f>IFERROR(Drivers!D19/MIN(P$18*(1-Drivers!D20),Drivers!D21/E14),"")</f>
        <v>250</v>
      </c>
      <c r="G12" s="88">
        <f>IFERROR(Drivers!E19/MIN(Q$18*(1-Drivers!E20),Drivers!E21/F14),"")</f>
        <v>227.49999999999997</v>
      </c>
      <c r="H12" s="88">
        <f>IFERROR(Drivers!F19/MIN(R$18*(1-Drivers!F20),Drivers!F21/G14),"")</f>
        <v>111.21527777777779</v>
      </c>
      <c r="I12" s="128"/>
      <c r="J12" s="132">
        <f>SUM($E11:E11)</f>
        <v>50</v>
      </c>
      <c r="K12" s="132">
        <f>SUM($E11:F11)</f>
        <v>100</v>
      </c>
      <c r="L12" s="132">
        <f>SUM($E11:G11)</f>
        <v>150</v>
      </c>
      <c r="M12" s="132">
        <f>SUM($E11:H11)</f>
        <v>200</v>
      </c>
      <c r="N12" s="128"/>
      <c r="O12" s="69"/>
      <c r="P12" s="68">
        <f>IF(Drivers!D19&gt;0,Drivers!D19,"")</f>
        <v>100</v>
      </c>
      <c r="Q12" s="68">
        <f>IF(Drivers!E19&gt;0,Drivers!E19,"")</f>
        <v>100</v>
      </c>
      <c r="R12" s="68">
        <f>IF(Drivers!F19&gt;0,Drivers!F19,"")</f>
        <v>75</v>
      </c>
      <c r="S12" s="166"/>
      <c r="T12" s="138">
        <f t="shared" si="0"/>
        <v>0</v>
      </c>
      <c r="U12" s="138">
        <f t="shared" si="0"/>
        <v>0.5494505494505495</v>
      </c>
      <c r="V12" s="138">
        <f t="shared" si="0"/>
        <v>0.59631595379331881</v>
      </c>
      <c r="W12" s="138">
        <f t="shared" si="0"/>
        <v>0.52652467011078907</v>
      </c>
      <c r="X12" s="128"/>
      <c r="Y12" s="171" t="s">
        <v>148</v>
      </c>
      <c r="Z12" s="89">
        <f>$R$11</f>
        <v>0</v>
      </c>
      <c r="AA12" s="89">
        <f>$M$12</f>
        <v>200</v>
      </c>
      <c r="AB12" s="92">
        <f>$W$11</f>
        <v>0.17887243290109966</v>
      </c>
      <c r="AC12" s="172"/>
    </row>
    <row r="13" spans="1:29" ht="13.8" customHeight="1" x14ac:dyDescent="0.3">
      <c r="A13" s="4"/>
      <c r="B13" s="4"/>
      <c r="C13" s="110" t="s">
        <v>34</v>
      </c>
      <c r="D13" s="108"/>
      <c r="E13" s="83"/>
      <c r="F13" s="83"/>
      <c r="G13" s="83"/>
      <c r="H13" s="83">
        <f>Drivers!G10</f>
        <v>115</v>
      </c>
      <c r="I13" s="128"/>
      <c r="J13" s="132"/>
      <c r="K13" s="132">
        <f>SUM($E12:F12)</f>
        <v>250</v>
      </c>
      <c r="L13" s="132">
        <f>SUM($E12:G12)</f>
        <v>477.5</v>
      </c>
      <c r="M13" s="132">
        <f>SUM($E12:H12)</f>
        <v>588.71527777777783</v>
      </c>
      <c r="N13" s="128"/>
      <c r="O13" s="70"/>
      <c r="P13" s="70"/>
      <c r="Q13" s="70"/>
      <c r="R13" s="70">
        <f>Drivers!G14*R18</f>
        <v>449.57852013737119</v>
      </c>
      <c r="S13" s="166"/>
      <c r="T13" s="139">
        <f t="shared" si="0"/>
        <v>0</v>
      </c>
      <c r="U13" s="139">
        <f t="shared" si="0"/>
        <v>0</v>
      </c>
      <c r="V13" s="139">
        <f t="shared" si="0"/>
        <v>0</v>
      </c>
      <c r="W13" s="139">
        <f t="shared" si="0"/>
        <v>0.10285164891813231</v>
      </c>
      <c r="X13" s="128"/>
      <c r="Y13" s="173" t="s">
        <v>149</v>
      </c>
      <c r="Z13" s="91">
        <f>$R$12</f>
        <v>75</v>
      </c>
      <c r="AA13" s="91">
        <f>$M$13</f>
        <v>588.71527777777783</v>
      </c>
      <c r="AB13" s="93">
        <f>$W$12</f>
        <v>0.52652467011078907</v>
      </c>
      <c r="AC13" s="174"/>
    </row>
    <row r="14" spans="1:29" ht="13.8" customHeight="1" x14ac:dyDescent="0.3">
      <c r="A14" s="4"/>
      <c r="C14" s="346" t="s">
        <v>35</v>
      </c>
      <c r="D14" s="108"/>
      <c r="E14" s="202">
        <f>SUM(E8:E13)</f>
        <v>100</v>
      </c>
      <c r="F14" s="202">
        <f>E14+SUM(F8:F13)</f>
        <v>455</v>
      </c>
      <c r="G14" s="202">
        <f>F14+SUM(G9:G13)</f>
        <v>800.75</v>
      </c>
      <c r="H14" s="202">
        <f>SUM(E8,E11:G11)+SUM(F12,G12)+(Drivers!E23*F9)+SUM(G9:G10)*Drivers!F23+SUM(H11:H13)</f>
        <v>1118.1152777777777</v>
      </c>
      <c r="I14" s="347"/>
      <c r="J14" s="348"/>
      <c r="K14" s="348">
        <f>SUM($E13:F13)</f>
        <v>0</v>
      </c>
      <c r="L14" s="348">
        <f>SUM($E13:G13)</f>
        <v>0</v>
      </c>
      <c r="M14" s="348">
        <f>SUM($E13:H13)</f>
        <v>115</v>
      </c>
      <c r="N14" s="347"/>
      <c r="O14" s="202">
        <f>O8</f>
        <v>35</v>
      </c>
      <c r="P14" s="202">
        <f>Drivers!E14+P9+P12</f>
        <v>177.5</v>
      </c>
      <c r="Q14" s="202">
        <f>Drivers!F14+Q9+Q10+Q12</f>
        <v>387.5</v>
      </c>
      <c r="R14" s="202">
        <f>R17+R12+R13</f>
        <v>1124.5785201373712</v>
      </c>
      <c r="S14" s="166"/>
      <c r="T14" s="140">
        <f t="shared" si="0"/>
        <v>1</v>
      </c>
      <c r="U14" s="140">
        <f t="shared" si="0"/>
        <v>1</v>
      </c>
      <c r="V14" s="140">
        <f t="shared" si="0"/>
        <v>1</v>
      </c>
      <c r="W14" s="140">
        <f t="shared" si="0"/>
        <v>1</v>
      </c>
      <c r="X14" s="128"/>
      <c r="Y14" s="243" t="s">
        <v>150</v>
      </c>
      <c r="Z14" s="244">
        <f>$R$15</f>
        <v>21.266337190751802</v>
      </c>
      <c r="AA14" s="244">
        <f>$H$15</f>
        <v>28.381699175824174</v>
      </c>
      <c r="AB14" s="245">
        <f>$W$15</f>
        <v>2.5383517907234025E-2</v>
      </c>
      <c r="AC14" s="175"/>
    </row>
    <row r="15" spans="1:29" ht="13.8" customHeight="1" x14ac:dyDescent="0.3">
      <c r="C15" s="225" t="s">
        <v>11</v>
      </c>
      <c r="D15" s="62"/>
      <c r="E15" s="226" cm="1">
        <f t="array" ref="E15">SUMPRODUCT((Drivers!$D15:D15&lt;$O18:O18)*Drivers!$D16:D16*(1-Drivers!$D15:D15/O18))</f>
        <v>1.9999999999999996</v>
      </c>
      <c r="F15" s="226" cm="1">
        <f t="array" ref="F15">SUMPRODUCT((Drivers!$D15:E15&lt;$O18:P18)*Drivers!$D16:E16*(1-Drivers!$D15:E15/P18))</f>
        <v>9.4</v>
      </c>
      <c r="G15" s="226" cm="1">
        <f t="array" ref="G15">SUMPRODUCT((Drivers!$D15:F15&lt;$O18:Q18)*Drivers!$D16:F16*(1-Drivers!$D15:F15/Q18))</f>
        <v>14.154000000000003</v>
      </c>
      <c r="H15" s="226" cm="1">
        <f t="array" ref="H15">SUMPRODUCT((Drivers!$D15:G15&lt;$O18:R18)*Drivers!$D16:G16*(1-Drivers!$D15:G15/R18))</f>
        <v>28.381699175824174</v>
      </c>
      <c r="I15" s="128"/>
      <c r="J15" s="227">
        <f>SUM(J9:J14)</f>
        <v>100</v>
      </c>
      <c r="K15" s="227">
        <f>SUM(K9:K14)</f>
        <v>455</v>
      </c>
      <c r="L15" s="227">
        <f>SUM(L9:L14)</f>
        <v>800.75</v>
      </c>
      <c r="M15" s="227">
        <f>SUM(M9:M14)</f>
        <v>1118.1152777777779</v>
      </c>
      <c r="N15" s="128"/>
      <c r="O15" s="226">
        <f>IFERROR(E15*O$18,"")</f>
        <v>0.69999999999999984</v>
      </c>
      <c r="P15" s="226">
        <f>IFERROR(F15*P$18,"")</f>
        <v>4.7</v>
      </c>
      <c r="Q15" s="226">
        <f>IFERROR(G15*Q$18,"")</f>
        <v>7.7769230769230795</v>
      </c>
      <c r="R15" s="226">
        <f>IFERROR(H15*R$18,"")</f>
        <v>21.266337190751802</v>
      </c>
      <c r="S15" s="166"/>
      <c r="T15" s="228">
        <f t="shared" si="0"/>
        <v>1.9999999999999997E-2</v>
      </c>
      <c r="U15" s="228">
        <f t="shared" si="0"/>
        <v>2.065934065934066E-2</v>
      </c>
      <c r="V15" s="228">
        <f t="shared" si="0"/>
        <v>1.7675928816734316E-2</v>
      </c>
      <c r="W15" s="229">
        <f t="shared" si="0"/>
        <v>2.5383517907234025E-2</v>
      </c>
      <c r="X15" s="128"/>
      <c r="Y15" s="417" t="s">
        <v>82</v>
      </c>
      <c r="Z15" s="417"/>
      <c r="AA15" s="417"/>
      <c r="AB15" s="417"/>
      <c r="AC15" s="102"/>
    </row>
    <row r="16" spans="1:29" ht="13.8" customHeight="1" x14ac:dyDescent="0.3">
      <c r="C16" s="345" t="s">
        <v>25</v>
      </c>
      <c r="D16" s="214"/>
      <c r="E16" s="202">
        <f>SUM(E14:E15)</f>
        <v>102</v>
      </c>
      <c r="F16" s="202">
        <f>SUM(F14:F15)</f>
        <v>464.4</v>
      </c>
      <c r="G16" s="202">
        <f>SUM(G14:G15)</f>
        <v>814.904</v>
      </c>
      <c r="H16" s="203">
        <f>SUM(E8,E11:G11)+SUM(F12,G12)+(Drivers!E23*F9)+SUM(G9:G10)*Drivers!F23+SUM(H11:H13)+H15</f>
        <v>1146.4969769536019</v>
      </c>
      <c r="I16" s="128"/>
      <c r="J16" s="133">
        <f>E15</f>
        <v>1.9999999999999996</v>
      </c>
      <c r="K16" s="133">
        <f>F15</f>
        <v>9.4</v>
      </c>
      <c r="L16" s="133">
        <f>G15</f>
        <v>14.154000000000003</v>
      </c>
      <c r="M16" s="133">
        <f>H15</f>
        <v>28.381699175824174</v>
      </c>
      <c r="N16" s="128"/>
      <c r="O16" s="202">
        <f>SUM(O8:O14)</f>
        <v>70</v>
      </c>
      <c r="P16" s="202">
        <f>SUM(P8:P14)</f>
        <v>305</v>
      </c>
      <c r="Q16" s="202">
        <f>SUM(Q8:Q14)</f>
        <v>525</v>
      </c>
      <c r="R16" s="203">
        <f>SUM(R14:R15)</f>
        <v>1145.844857328123</v>
      </c>
      <c r="S16" s="166"/>
      <c r="T16" s="140">
        <f>J15/J$15</f>
        <v>1</v>
      </c>
      <c r="U16" s="140">
        <f>K15/K$15</f>
        <v>1</v>
      </c>
      <c r="V16" s="140">
        <f>L15/L$15</f>
        <v>1</v>
      </c>
      <c r="W16" s="140">
        <f>M15/M$15</f>
        <v>1</v>
      </c>
      <c r="X16" s="128"/>
      <c r="Y16" s="418"/>
      <c r="Z16" s="418"/>
      <c r="AA16" s="418"/>
      <c r="AB16" s="418"/>
      <c r="AC16" s="127"/>
    </row>
    <row r="17" spans="1:29" ht="13.8" customHeight="1" x14ac:dyDescent="0.3">
      <c r="A17" s="4"/>
      <c r="C17" s="324" t="s">
        <v>10</v>
      </c>
      <c r="D17" s="62"/>
      <c r="E17" s="166"/>
      <c r="F17" s="166"/>
      <c r="G17" s="166"/>
      <c r="H17" s="128"/>
      <c r="I17" s="128"/>
      <c r="J17" s="134">
        <f>SUM(J15:J16)</f>
        <v>102</v>
      </c>
      <c r="K17" s="134">
        <f>SUM(K15:K16)</f>
        <v>464.4</v>
      </c>
      <c r="L17" s="134">
        <f>SUM(L15:L16)</f>
        <v>814.904</v>
      </c>
      <c r="M17" s="134">
        <f>SUM(M15:M16)</f>
        <v>1146.4969769536021</v>
      </c>
      <c r="N17" s="128"/>
      <c r="O17" s="194">
        <f>Drivers!D13</f>
        <v>35</v>
      </c>
      <c r="P17" s="194">
        <f>Drivers!E14</f>
        <v>50</v>
      </c>
      <c r="Q17" s="194">
        <f>Drivers!F14</f>
        <v>250</v>
      </c>
      <c r="R17" s="194">
        <f>Drivers!G14</f>
        <v>600</v>
      </c>
      <c r="S17" s="166"/>
      <c r="T17" s="108"/>
      <c r="U17" s="128"/>
      <c r="V17" s="128"/>
      <c r="W17" s="280"/>
      <c r="X17" s="128"/>
      <c r="Y17" s="176" t="s">
        <v>155</v>
      </c>
      <c r="Z17" s="177" t="s">
        <v>143</v>
      </c>
      <c r="AA17" s="178" t="s">
        <v>78</v>
      </c>
      <c r="AB17" s="178" t="s">
        <v>38</v>
      </c>
      <c r="AC17" s="190"/>
    </row>
    <row r="18" spans="1:29" ht="13.8" customHeight="1" x14ac:dyDescent="0.3">
      <c r="C18" s="108" t="s">
        <v>85</v>
      </c>
      <c r="D18" s="108"/>
      <c r="E18" s="280"/>
      <c r="F18" s="280"/>
      <c r="G18" s="280"/>
      <c r="H18" s="280"/>
      <c r="I18" s="128"/>
      <c r="J18" s="135"/>
      <c r="K18" s="135"/>
      <c r="L18" s="135"/>
      <c r="M18" s="135"/>
      <c r="N18" s="128"/>
      <c r="O18" s="57">
        <f>IFERROR(O14/E14,"")</f>
        <v>0.35</v>
      </c>
      <c r="P18" s="57">
        <f>IFERROR(Drivers!E14/E14,"")</f>
        <v>0.5</v>
      </c>
      <c r="Q18" s="57">
        <f>IFERROR(Drivers!F14/F14,"")</f>
        <v>0.5494505494505495</v>
      </c>
      <c r="R18" s="57">
        <f>Drivers!G14/G14</f>
        <v>0.74929753356228534</v>
      </c>
      <c r="S18" s="166"/>
      <c r="T18" s="129"/>
      <c r="U18" s="129"/>
      <c r="V18" s="135"/>
      <c r="W18" s="275"/>
      <c r="X18" s="128"/>
      <c r="Y18" s="179" t="s">
        <v>162</v>
      </c>
      <c r="Z18" s="191"/>
      <c r="AA18" s="95"/>
      <c r="AB18" s="95"/>
      <c r="AC18" s="180"/>
    </row>
    <row r="19" spans="1:29" ht="13.8" customHeight="1" x14ac:dyDescent="0.3">
      <c r="C19" s="129"/>
      <c r="D19" s="129"/>
      <c r="E19" s="129"/>
      <c r="F19" s="129"/>
      <c r="G19" s="275"/>
      <c r="H19" s="128"/>
      <c r="I19" s="128"/>
      <c r="J19" s="63"/>
      <c r="K19" s="130"/>
      <c r="L19" s="130"/>
      <c r="M19" s="130"/>
      <c r="N19" s="128"/>
      <c r="O19" s="128"/>
      <c r="P19" s="128"/>
      <c r="Q19" s="128"/>
      <c r="R19" s="280"/>
      <c r="S19" s="280"/>
      <c r="T19" s="128"/>
      <c r="U19" s="128"/>
      <c r="V19" s="128"/>
      <c r="W19" s="280"/>
      <c r="X19" s="128"/>
      <c r="Y19" s="184" t="s">
        <v>156</v>
      </c>
      <c r="Z19" s="94" t="s">
        <v>72</v>
      </c>
      <c r="AA19" s="95">
        <f>$H$14</f>
        <v>1118.1152777777777</v>
      </c>
      <c r="AB19" s="95">
        <f>$R$16</f>
        <v>1145.844857328123</v>
      </c>
      <c r="AC19" s="181"/>
    </row>
    <row r="20" spans="1:29" ht="13.8" customHeight="1" x14ac:dyDescent="0.3">
      <c r="C20" s="129"/>
      <c r="D20" s="129"/>
      <c r="E20" s="128"/>
      <c r="F20" s="128"/>
      <c r="G20" s="280"/>
      <c r="H20" s="128"/>
      <c r="I20" s="128"/>
      <c r="J20" s="130"/>
      <c r="K20" s="130"/>
      <c r="L20" s="130"/>
      <c r="M20" s="130"/>
      <c r="N20" s="128"/>
      <c r="O20" s="129"/>
      <c r="P20" s="129"/>
      <c r="Q20" s="128"/>
      <c r="R20" s="280"/>
      <c r="S20" s="128"/>
      <c r="T20" s="128"/>
      <c r="U20" s="128"/>
      <c r="V20" s="130"/>
      <c r="W20" s="280"/>
      <c r="X20" s="128"/>
      <c r="Y20" s="182" t="s">
        <v>157</v>
      </c>
      <c r="Z20" s="96" t="s">
        <v>72</v>
      </c>
      <c r="AA20" s="97">
        <f>$H$16</f>
        <v>1146.4969769536019</v>
      </c>
      <c r="AB20" s="97">
        <f>Valuation!$F$11</f>
        <v>859.06735706795018</v>
      </c>
      <c r="AC20" s="183"/>
    </row>
    <row r="21" spans="1:29" ht="13.8" customHeight="1" x14ac:dyDescent="0.3">
      <c r="C21" s="129"/>
      <c r="D21" s="129"/>
      <c r="E21" s="128"/>
      <c r="F21" s="128"/>
      <c r="G21" s="275"/>
      <c r="H21" s="128"/>
      <c r="I21" s="129"/>
      <c r="J21" s="135"/>
      <c r="K21" s="135"/>
      <c r="L21" s="135"/>
      <c r="M21" s="135"/>
      <c r="N21" s="129"/>
      <c r="O21" s="129"/>
      <c r="P21" s="128"/>
      <c r="Q21" s="128"/>
      <c r="R21" s="280"/>
      <c r="S21" s="128"/>
      <c r="T21" s="128"/>
      <c r="U21" s="128"/>
      <c r="V21" s="130"/>
      <c r="W21" s="280"/>
      <c r="X21" s="128"/>
      <c r="Y21" s="179" t="s">
        <v>170</v>
      </c>
      <c r="Z21" s="94"/>
      <c r="AA21" s="95"/>
      <c r="AB21" s="95"/>
      <c r="AC21" s="180"/>
    </row>
    <row r="22" spans="1:29" ht="13.8" customHeight="1" x14ac:dyDescent="0.3">
      <c r="C22" s="129"/>
      <c r="D22" s="129"/>
      <c r="E22" s="128"/>
      <c r="F22" s="128"/>
      <c r="G22" s="275"/>
      <c r="H22" s="275"/>
      <c r="I22" s="129"/>
      <c r="J22" s="135"/>
      <c r="K22" s="135"/>
      <c r="L22" s="135"/>
      <c r="M22" s="135"/>
      <c r="N22" s="129"/>
      <c r="O22" s="129"/>
      <c r="P22" s="128"/>
      <c r="Q22" s="128"/>
      <c r="R22" s="280"/>
      <c r="S22" s="128"/>
      <c r="T22" s="128"/>
      <c r="U22" s="128"/>
      <c r="V22" s="130"/>
      <c r="W22" s="280"/>
      <c r="X22" s="128"/>
      <c r="Y22" s="184" t="s">
        <v>211</v>
      </c>
      <c r="Z22" s="94" t="s">
        <v>72</v>
      </c>
      <c r="AA22" s="95">
        <f>Factors!$D$13</f>
        <v>1318.1152777777777</v>
      </c>
      <c r="AB22" s="95">
        <f>Valuation!$I$11</f>
        <v>922.68069444444427</v>
      </c>
      <c r="AC22" s="181"/>
    </row>
    <row r="23" spans="1:29" ht="13.8" customHeight="1" x14ac:dyDescent="0.3">
      <c r="C23" s="129"/>
      <c r="D23" s="129"/>
      <c r="E23" s="128"/>
      <c r="F23" s="128"/>
      <c r="G23" s="275"/>
      <c r="H23" s="275"/>
      <c r="I23" s="129"/>
      <c r="J23" s="135"/>
      <c r="K23" s="135"/>
      <c r="L23" s="135"/>
      <c r="M23" s="135"/>
      <c r="N23" s="129"/>
      <c r="O23" s="129"/>
      <c r="P23" s="128"/>
      <c r="Q23" s="128"/>
      <c r="R23" s="280"/>
      <c r="S23" s="128"/>
      <c r="T23" s="128"/>
      <c r="U23" s="128"/>
      <c r="V23" s="130"/>
      <c r="W23" s="280"/>
      <c r="X23" s="128"/>
      <c r="Y23" s="182" t="s">
        <v>212</v>
      </c>
      <c r="Z23" s="96" t="s">
        <v>72</v>
      </c>
      <c r="AA23" s="97">
        <f>Factors!$D$20</f>
        <v>1344.8875395933171</v>
      </c>
      <c r="AB23" s="97">
        <f>Valuation!$I$24</f>
        <v>863.42127771532193</v>
      </c>
      <c r="AC23" s="183"/>
    </row>
    <row r="24" spans="1:29" ht="13.8" customHeight="1" x14ac:dyDescent="0.3">
      <c r="C24" s="129"/>
      <c r="D24" s="129"/>
      <c r="E24" s="128"/>
      <c r="F24" s="128"/>
      <c r="G24" s="275"/>
      <c r="H24" s="275"/>
      <c r="I24" s="129"/>
      <c r="J24" s="135"/>
      <c r="K24" s="135"/>
      <c r="L24" s="135"/>
      <c r="M24" s="135"/>
      <c r="N24" s="129"/>
      <c r="O24" s="129"/>
      <c r="P24" s="128"/>
      <c r="Q24" s="128"/>
      <c r="R24" s="280"/>
      <c r="S24" s="128"/>
      <c r="T24" s="128"/>
      <c r="U24" s="128"/>
      <c r="V24" s="130"/>
      <c r="W24" s="280"/>
      <c r="X24" s="128"/>
      <c r="Y24" s="179" t="s">
        <v>171</v>
      </c>
      <c r="Z24" s="94"/>
      <c r="AA24" s="98"/>
      <c r="AB24" s="95"/>
      <c r="AC24" s="180"/>
    </row>
    <row r="25" spans="1:29" ht="13.8" customHeight="1" x14ac:dyDescent="0.3">
      <c r="C25" s="129"/>
      <c r="D25" s="129"/>
      <c r="E25" s="128"/>
      <c r="F25" s="128"/>
      <c r="G25" s="128"/>
      <c r="H25" s="166"/>
      <c r="I25" s="128"/>
      <c r="J25" s="130"/>
      <c r="K25" s="130"/>
      <c r="L25" s="130"/>
      <c r="M25" s="130"/>
      <c r="N25" s="128"/>
      <c r="O25" s="128"/>
      <c r="P25" s="128"/>
      <c r="Q25" s="128"/>
      <c r="R25" s="280"/>
      <c r="S25" s="128"/>
      <c r="T25" s="128"/>
      <c r="U25" s="128"/>
      <c r="V25" s="130"/>
      <c r="W25" s="280"/>
      <c r="X25" s="128"/>
      <c r="Y25" s="184" t="s">
        <v>158</v>
      </c>
      <c r="Z25" s="94" t="s">
        <v>71</v>
      </c>
      <c r="AA25" s="98"/>
      <c r="AB25" s="95">
        <f>IFERROR(Valuation!$L$13,"")</f>
        <v>3137.7551020408164</v>
      </c>
      <c r="AC25" s="181"/>
    </row>
    <row r="26" spans="1:29" ht="13.8" customHeight="1" x14ac:dyDescent="0.3">
      <c r="C26" s="129"/>
      <c r="D26" s="129"/>
      <c r="E26" s="128"/>
      <c r="F26" s="128"/>
      <c r="G26" s="275"/>
      <c r="H26" s="275"/>
      <c r="I26" s="128"/>
      <c r="J26" s="130"/>
      <c r="K26" s="130"/>
      <c r="L26" s="130"/>
      <c r="M26" s="130"/>
      <c r="N26" s="128"/>
      <c r="O26" s="128"/>
      <c r="P26" s="128"/>
      <c r="Q26" s="128"/>
      <c r="R26" s="280"/>
      <c r="S26" s="128"/>
      <c r="T26" s="128"/>
      <c r="U26" s="128"/>
      <c r="V26" s="130"/>
      <c r="W26" s="280"/>
      <c r="X26" s="128"/>
      <c r="Y26" s="182" t="s">
        <v>159</v>
      </c>
      <c r="Z26" s="96" t="s">
        <v>72</v>
      </c>
      <c r="AA26" s="99"/>
      <c r="AB26" s="97">
        <f>IFERROR(Valuation!$L$24,"")</f>
        <v>2843.3350772357735</v>
      </c>
      <c r="AC26" s="183"/>
    </row>
    <row r="27" spans="1:29" ht="13.8" customHeight="1" x14ac:dyDescent="0.3">
      <c r="C27" s="129"/>
      <c r="D27" s="129"/>
      <c r="E27" s="128"/>
      <c r="F27" s="128"/>
      <c r="G27" s="280"/>
      <c r="H27" s="280"/>
      <c r="I27" s="128"/>
      <c r="J27" s="130"/>
      <c r="K27" s="130"/>
      <c r="L27" s="130"/>
      <c r="M27" s="130"/>
      <c r="N27" s="128"/>
      <c r="O27" s="128"/>
      <c r="P27" s="128"/>
      <c r="Q27" s="128"/>
      <c r="R27" s="280"/>
      <c r="S27" s="128"/>
      <c r="T27" s="128"/>
      <c r="U27" s="128"/>
      <c r="V27" s="130"/>
      <c r="W27" s="280"/>
      <c r="X27" s="128"/>
      <c r="Y27" s="179" t="s">
        <v>172</v>
      </c>
      <c r="Z27" s="94"/>
      <c r="AA27" s="98"/>
      <c r="AB27" s="95"/>
      <c r="AC27" s="180"/>
    </row>
    <row r="28" spans="1:29" ht="13.8" customHeight="1" x14ac:dyDescent="0.3">
      <c r="C28" s="129"/>
      <c r="D28" s="129"/>
      <c r="E28" s="128"/>
      <c r="F28" s="128"/>
      <c r="G28" s="280"/>
      <c r="H28" s="280"/>
      <c r="I28" s="128"/>
      <c r="J28" s="130"/>
      <c r="K28" s="130"/>
      <c r="L28" s="130"/>
      <c r="M28" s="130"/>
      <c r="N28" s="128"/>
      <c r="O28" s="128"/>
      <c r="P28" s="128"/>
      <c r="Q28" s="128"/>
      <c r="R28" s="280"/>
      <c r="S28" s="128"/>
      <c r="T28" s="128"/>
      <c r="U28" s="128"/>
      <c r="V28" s="130"/>
      <c r="W28" s="280"/>
      <c r="X28" s="128"/>
      <c r="Y28" s="184" t="s">
        <v>160</v>
      </c>
      <c r="Z28" s="94" t="s">
        <v>71</v>
      </c>
      <c r="AA28" s="98"/>
      <c r="AB28" s="95">
        <f>IFERROR(Valuation!$O$13,"")</f>
        <v>699.2975005974755</v>
      </c>
      <c r="AC28" s="181"/>
    </row>
    <row r="29" spans="1:29" ht="13.8" customHeight="1" x14ac:dyDescent="0.3">
      <c r="C29" s="129"/>
      <c r="D29" s="129"/>
      <c r="E29" s="129"/>
      <c r="F29" s="129"/>
      <c r="G29" s="275"/>
      <c r="H29" s="275"/>
      <c r="I29" s="129"/>
      <c r="J29" s="135"/>
      <c r="K29" s="135"/>
      <c r="L29" s="135"/>
      <c r="M29" s="135"/>
      <c r="N29" s="129"/>
      <c r="O29" s="129"/>
      <c r="P29" s="129"/>
      <c r="Q29" s="128"/>
      <c r="R29" s="280"/>
      <c r="S29" s="129"/>
      <c r="T29" s="129"/>
      <c r="U29" s="129"/>
      <c r="V29" s="135"/>
      <c r="W29" s="275"/>
      <c r="X29" s="129"/>
      <c r="Y29" s="185" t="s">
        <v>161</v>
      </c>
      <c r="Z29" s="186" t="s">
        <v>72</v>
      </c>
      <c r="AA29" s="187"/>
      <c r="AB29" s="188">
        <f>IFERROR(Valuation!$O$27,"")</f>
        <v>490.96686697103326</v>
      </c>
      <c r="AC29" s="189"/>
    </row>
  </sheetData>
  <sheetProtection algorithmName="SHA-512" hashValue="Zfy2ilFmxz7N5ojWcitHhrDazwpyG9f3oM+oIcA0N2SVZVHLKcsD11Gzm7H1TtdU4QvMRZyMSKu+yfUhjeGYQw==" saltValue="0AEn56Ub7HBj6LmMB+zHjg==" spinCount="100000" sheet="1" objects="1" scenarios="1" selectLockedCells="1" selectUnlockedCells="1"/>
  <mergeCells count="5">
    <mergeCell ref="E5:H5"/>
    <mergeCell ref="Y15:AB16"/>
    <mergeCell ref="T5:W5"/>
    <mergeCell ref="O5:R5"/>
    <mergeCell ref="Y5:AC6"/>
  </mergeCells>
  <printOptions horizontalCentered="1"/>
  <pageMargins left="0.5" right="0.5" top="0.75" bottom="0.75" header="0.3" footer="0.3"/>
  <pageSetup scale="72" orientation="landscape" r:id="rId1"/>
  <headerFooter scaleWithDoc="0" alignWithMargins="0">
    <oddFooter>&amp;L&amp;10Fundraising&amp;R&amp;10Updated &amp;D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9C31-6599-422E-A5A4-8AE80BA719A5}">
  <sheetPr codeName="Sheet5">
    <tabColor theme="9" tint="0.79998168889431442"/>
    <pageSetUpPr fitToPage="1"/>
  </sheetPr>
  <dimension ref="A1:AC29"/>
  <sheetViews>
    <sheetView showGridLines="0" showRowColHeaders="0" zoomScaleNormal="100" workbookViewId="0">
      <selection activeCell="U25" sqref="U25:U29"/>
    </sheetView>
  </sheetViews>
  <sheetFormatPr defaultColWidth="10" defaultRowHeight="10.199999999999999" x14ac:dyDescent="0.2"/>
  <cols>
    <col min="1" max="1" width="3.21875" style="19" bestFit="1" customWidth="1"/>
    <col min="2" max="2" width="4.77734375" style="19" customWidth="1"/>
    <col min="3" max="3" width="10.44140625" style="25" customWidth="1"/>
    <col min="4" max="4" width="9" style="19" customWidth="1"/>
    <col min="5" max="5" width="9" style="25" customWidth="1"/>
    <col min="6" max="8" width="9" style="19" customWidth="1"/>
    <col min="9" max="9" width="9.88671875" style="19" customWidth="1"/>
    <col min="10" max="10" width="2" style="25" customWidth="1"/>
    <col min="11" max="11" width="15.44140625" style="25" customWidth="1"/>
    <col min="12" max="12" width="9" style="19" customWidth="1"/>
    <col min="13" max="13" width="9" style="25" customWidth="1"/>
    <col min="14" max="16" width="9" style="19" customWidth="1"/>
    <col min="17" max="17" width="10.5546875" style="19" customWidth="1"/>
    <col min="18" max="18" width="12" style="20" bestFit="1" customWidth="1"/>
    <col min="19" max="21" width="8.5546875" style="59" customWidth="1"/>
    <col min="22" max="22" width="0.88671875" style="59" customWidth="1"/>
    <col min="23" max="16384" width="10" style="19"/>
  </cols>
  <sheetData>
    <row r="1" spans="1:29" s="6" customFormat="1" x14ac:dyDescent="0.2">
      <c r="A1" s="49" t="s">
        <v>7</v>
      </c>
      <c r="B1" s="5"/>
      <c r="C1" s="5"/>
    </row>
    <row r="2" spans="1:29" s="49" customFormat="1" ht="13.8" customHeight="1" x14ac:dyDescent="0.2">
      <c r="A2" s="7"/>
      <c r="B2" s="7"/>
      <c r="C2" s="4"/>
      <c r="D2" s="4"/>
      <c r="E2" s="2"/>
      <c r="F2" s="2"/>
      <c r="G2" s="2"/>
      <c r="H2" s="2"/>
      <c r="I2" s="2"/>
      <c r="J2" s="2"/>
      <c r="K2" s="2"/>
      <c r="L2" s="65"/>
      <c r="N2" s="65"/>
      <c r="O2" s="2"/>
      <c r="P2" s="2"/>
      <c r="Q2" s="2"/>
      <c r="R2" s="2"/>
      <c r="S2" s="2"/>
      <c r="T2" s="2"/>
    </row>
    <row r="3" spans="1:29" s="2" customFormat="1" ht="31.8" customHeight="1" x14ac:dyDescent="0.45">
      <c r="A3" s="7"/>
      <c r="B3" s="7"/>
      <c r="C3" s="416" t="s">
        <v>244</v>
      </c>
      <c r="D3" s="416"/>
      <c r="E3" s="7"/>
      <c r="Q3" s="7"/>
      <c r="S3" s="82"/>
      <c r="T3" s="82"/>
      <c r="U3" s="82"/>
    </row>
    <row r="4" spans="1:29" s="55" customFormat="1" ht="7.8" customHeight="1" x14ac:dyDescent="0.3">
      <c r="A4" s="78"/>
      <c r="B4" s="78"/>
      <c r="G4" s="235"/>
      <c r="L4" s="80"/>
      <c r="S4" s="236"/>
      <c r="U4" s="80"/>
    </row>
    <row r="5" spans="1:29" s="24" customFormat="1" ht="16.8" x14ac:dyDescent="0.3">
      <c r="C5" s="426" t="s">
        <v>75</v>
      </c>
      <c r="D5" s="426"/>
      <c r="E5" s="426"/>
      <c r="F5" s="426"/>
      <c r="G5" s="426"/>
      <c r="H5" s="426"/>
      <c r="I5" s="73"/>
      <c r="J5" s="425" t="s">
        <v>76</v>
      </c>
      <c r="K5" s="425"/>
      <c r="L5" s="425"/>
      <c r="M5" s="425"/>
      <c r="N5" s="425"/>
      <c r="O5" s="425"/>
      <c r="P5" s="425"/>
      <c r="Q5" s="73"/>
      <c r="R5" s="421" t="s">
        <v>147</v>
      </c>
      <c r="S5" s="421"/>
      <c r="T5" s="421"/>
      <c r="U5" s="421"/>
      <c r="V5" s="421"/>
    </row>
    <row r="6" spans="1:29" s="49" customFormat="1" ht="3.6" customHeight="1" x14ac:dyDescent="0.2">
      <c r="G6" s="282"/>
      <c r="H6" s="282"/>
      <c r="J6" s="52"/>
      <c r="K6" s="52"/>
      <c r="L6" s="52"/>
      <c r="M6" s="52"/>
      <c r="Q6" s="2"/>
      <c r="R6" s="422"/>
      <c r="S6" s="422"/>
      <c r="T6" s="422"/>
      <c r="U6" s="422"/>
      <c r="V6" s="422"/>
      <c r="W6" s="282"/>
      <c r="Y6" s="20"/>
      <c r="Z6" s="59"/>
      <c r="AA6" s="59"/>
      <c r="AB6" s="59"/>
      <c r="AC6" s="59"/>
    </row>
    <row r="7" spans="1:29" s="101" customFormat="1" ht="15" customHeight="1" x14ac:dyDescent="0.3">
      <c r="A7" s="81"/>
      <c r="B7" s="81"/>
      <c r="C7" s="164"/>
      <c r="D7" s="296">
        <v>1</v>
      </c>
      <c r="E7" s="296">
        <v>2</v>
      </c>
      <c r="F7" s="296">
        <v>3</v>
      </c>
      <c r="G7" s="296">
        <v>4</v>
      </c>
      <c r="H7" s="296">
        <v>5</v>
      </c>
      <c r="I7" s="100"/>
      <c r="K7" s="224"/>
      <c r="L7" s="296">
        <v>1</v>
      </c>
      <c r="M7" s="296">
        <v>2</v>
      </c>
      <c r="N7" s="296">
        <v>3</v>
      </c>
      <c r="O7" s="296">
        <v>4</v>
      </c>
      <c r="P7" s="296">
        <v>5</v>
      </c>
      <c r="Q7" s="164"/>
      <c r="R7" s="176" t="s">
        <v>191</v>
      </c>
      <c r="S7" s="178" t="s">
        <v>146</v>
      </c>
      <c r="T7" s="178" t="s">
        <v>78</v>
      </c>
      <c r="U7" s="178" t="s">
        <v>144</v>
      </c>
      <c r="V7" s="393"/>
    </row>
    <row r="8" spans="1:29" s="2" customFormat="1" ht="13.8" customHeight="1" x14ac:dyDescent="0.3">
      <c r="C8" s="115" t="s">
        <v>36</v>
      </c>
      <c r="D8" s="58">
        <f>SUM(Drivers!$K13)  * (1+((1+SUMPRODUCT(Drivers!$K13,Drivers!$L13)/SUM(Drivers!$K13))^(L$7-1)-1))</f>
        <v>3500</v>
      </c>
      <c r="E8" s="58">
        <f>SUM(Drivers!$K13)  * (1+((1+SUMPRODUCT(Drivers!$K13,Drivers!$L13)/SUM(Drivers!$K13))^(M$7-1)-1))</f>
        <v>3710</v>
      </c>
      <c r="F8" s="58">
        <f>SUM(Drivers!$K13)  * (1+((1+SUMPRODUCT(Drivers!$K13,Drivers!$L13)/SUM(Drivers!$K13))^(N$7-1)-1))</f>
        <v>3932.6000000000004</v>
      </c>
      <c r="G8" s="58">
        <f>SUM(Drivers!$K13)  * (1+((1+SUMPRODUCT(Drivers!$K13,Drivers!$L13)/SUM(Drivers!$K13))^(O$7-1)-1))</f>
        <v>4168.5560000000014</v>
      </c>
      <c r="H8" s="58">
        <f>SUM(Drivers!$K13)  * (1+((1+SUMPRODUCT(Drivers!$K13,Drivers!$L13)/SUM(Drivers!$K13))^(P$7-1)-1))</f>
        <v>4418.6693600000008</v>
      </c>
      <c r="I8" s="128"/>
      <c r="J8" s="224" t="s">
        <v>173</v>
      </c>
      <c r="R8" s="265" t="s">
        <v>145</v>
      </c>
      <c r="S8" s="89">
        <f>SUM(Funding!$O$8:$R$8)</f>
        <v>35</v>
      </c>
      <c r="T8" s="89">
        <f>Funding!$M$9</f>
        <v>50</v>
      </c>
      <c r="U8" s="266">
        <f>Funding!$W$8</f>
        <v>4.4718108225274916E-2</v>
      </c>
      <c r="V8" s="267"/>
    </row>
    <row r="9" spans="1:29" ht="13.8" customHeight="1" x14ac:dyDescent="0.3">
      <c r="C9" s="116" t="s">
        <v>83</v>
      </c>
      <c r="D9" s="117">
        <f>D8/(1+Drivers!$L13)*Drivers!$K19 + D8*(1-Drivers!$K19)</f>
        <v>3341.5094339622642</v>
      </c>
      <c r="E9" s="117">
        <f>E8/(1+Drivers!$L13)*Drivers!$K19 + E8*(1-Drivers!$K19)</f>
        <v>3542</v>
      </c>
      <c r="F9" s="117">
        <f>F8/(1+Drivers!$L13)*Drivers!$K19 + F8*(1-Drivers!$K19)</f>
        <v>3754.52</v>
      </c>
      <c r="G9" s="117">
        <f>G8/(1+Drivers!$L13)*Drivers!$K19 + G8*(1-Drivers!$K19)</f>
        <v>3979.7912000000015</v>
      </c>
      <c r="H9" s="117">
        <f>H8/(1+Drivers!$L13)*Drivers!$K19 + H8*(1-Drivers!$K19)</f>
        <v>4218.5786720000006</v>
      </c>
      <c r="I9" s="28"/>
      <c r="J9" s="2"/>
      <c r="K9" s="115" t="s">
        <v>174</v>
      </c>
      <c r="L9" s="166">
        <f>Drivers!$K$9*(1+Drivers!$L$9)</f>
        <v>26.25</v>
      </c>
      <c r="M9" s="166">
        <f>L9*(1+Drivers!$L$9)</f>
        <v>27.5625</v>
      </c>
      <c r="N9" s="166">
        <f>M9*(1+Drivers!$L$9)</f>
        <v>28.940625000000001</v>
      </c>
      <c r="O9" s="166">
        <f>N9*(1+Drivers!$L$9)</f>
        <v>30.387656250000003</v>
      </c>
      <c r="P9" s="166">
        <f>O9*(1+Drivers!$L$9)</f>
        <v>31.907039062500004</v>
      </c>
      <c r="Q9" s="128"/>
      <c r="R9" s="265" t="s">
        <v>151</v>
      </c>
      <c r="S9" s="89">
        <f>SUM(Funding!$O$9:$R$9)</f>
        <v>32.032967032967036</v>
      </c>
      <c r="T9" s="89">
        <f>Funding!$M$10</f>
        <v>92.4</v>
      </c>
      <c r="U9" s="266">
        <f>Funding!$W$9</f>
        <v>8.2639064000308057E-2</v>
      </c>
      <c r="V9" s="267"/>
    </row>
    <row r="10" spans="1:29" s="34" customFormat="1" ht="13.8" customHeight="1" x14ac:dyDescent="0.3">
      <c r="A10" s="2"/>
      <c r="B10" s="2"/>
      <c r="C10" s="115" t="s">
        <v>107</v>
      </c>
      <c r="D10" s="58">
        <f>SUM(Drivers!$K14)  * (1+((1+SUMPRODUCT(Drivers!$K14,Drivers!$L14)/SUM(Drivers!$K14))^(L$7-1)-1))</f>
        <v>2800</v>
      </c>
      <c r="E10" s="58">
        <f>SUM(Drivers!$K14)  * (1+((1+SUMPRODUCT(Drivers!$K14,Drivers!$L14)/SUM(Drivers!$K14))^(M$7-1)-1))</f>
        <v>2940</v>
      </c>
      <c r="F10" s="58">
        <f>SUM(Drivers!$K14)  * (1+((1+SUMPRODUCT(Drivers!$K14,Drivers!$L14)/SUM(Drivers!$K14))^(N$7-1)-1))</f>
        <v>3087</v>
      </c>
      <c r="G10" s="58">
        <f>SUM(Drivers!$K14)  * (1+((1+SUMPRODUCT(Drivers!$K14,Drivers!$L14)/SUM(Drivers!$K14))^(O$7-1)-1))</f>
        <v>3241.3500000000004</v>
      </c>
      <c r="H10" s="58">
        <f>SUM(Drivers!$K14)  * (1+((1+SUMPRODUCT(Drivers!$K14,Drivers!$L14)/SUM(Drivers!$K14))^(P$7-1)-1))</f>
        <v>3403.4175</v>
      </c>
      <c r="I10" s="106"/>
      <c r="J10" s="25"/>
      <c r="K10" s="199" t="s">
        <v>175</v>
      </c>
      <c r="L10" s="200">
        <f>Drivers!$K$10*(1+Drivers!$L$10)</f>
        <v>77.25</v>
      </c>
      <c r="M10" s="118">
        <f>L10*(1+Drivers!$L$10)</f>
        <v>79.567499999999995</v>
      </c>
      <c r="N10" s="118">
        <f>M10*(1+Drivers!$L$10)</f>
        <v>81.954525000000004</v>
      </c>
      <c r="O10" s="118">
        <f>N10*(1+Drivers!$L$10)</f>
        <v>84.413160750000003</v>
      </c>
      <c r="P10" s="118">
        <f>O10*(1+Drivers!$L$10)</f>
        <v>86.945555572499998</v>
      </c>
      <c r="Q10" s="28"/>
      <c r="R10" s="268" t="s">
        <v>152</v>
      </c>
      <c r="S10" s="90">
        <f>SUM(Funding!$O$10:$R$10)</f>
        <v>32.967032967032971</v>
      </c>
      <c r="T10" s="90">
        <f>Funding!$M$11</f>
        <v>72</v>
      </c>
      <c r="U10" s="269">
        <f>Funding!$W$10</f>
        <v>6.4394075844395882E-2</v>
      </c>
      <c r="V10" s="270"/>
    </row>
    <row r="11" spans="1:29" ht="13.8" customHeight="1" x14ac:dyDescent="0.3">
      <c r="C11" s="116" t="s">
        <v>84</v>
      </c>
      <c r="D11" s="117">
        <f>D10/(1+Drivers!$L14)*Drivers!$K20 + D10*(1-Drivers!$K20)</f>
        <v>2706.6666666666665</v>
      </c>
      <c r="E11" s="117">
        <f>E10/(1+Drivers!$L14)*Drivers!$K20 + E10*(1-Drivers!$K20)</f>
        <v>2842</v>
      </c>
      <c r="F11" s="117">
        <f>F10/(1+Drivers!$L14)*Drivers!$K20 + F10*(1-Drivers!$K20)</f>
        <v>2984.1000000000004</v>
      </c>
      <c r="G11" s="117">
        <f>G10/(1+Drivers!$L14)*Drivers!$K20 + G10*(1-Drivers!$K20)</f>
        <v>3133.3049999999998</v>
      </c>
      <c r="H11" s="117">
        <f>H10/(1+Drivers!$L14)*Drivers!$K20 + H10*(1-Drivers!$K20)</f>
        <v>3289.9702499999999</v>
      </c>
      <c r="I11" s="28"/>
      <c r="J11" s="34"/>
      <c r="K11" s="115" t="s">
        <v>74</v>
      </c>
      <c r="L11" s="79"/>
      <c r="M11" s="79"/>
      <c r="N11" s="79"/>
      <c r="O11" s="79"/>
      <c r="P11" s="79"/>
      <c r="Q11" s="106"/>
      <c r="R11" s="271" t="s">
        <v>154</v>
      </c>
      <c r="S11" s="91">
        <f>SUM(Funding!$O$13:$R$13)</f>
        <v>449.57852013737119</v>
      </c>
      <c r="T11" s="91">
        <f>Funding!$M$14</f>
        <v>115</v>
      </c>
      <c r="U11" s="92">
        <f>Funding!$W$13</f>
        <v>0.10285164891813231</v>
      </c>
      <c r="V11" s="272"/>
    </row>
    <row r="12" spans="1:29" ht="13.8" customHeight="1" x14ac:dyDescent="0.3">
      <c r="A12" s="34"/>
      <c r="B12" s="34"/>
      <c r="C12" s="115" t="s">
        <v>103</v>
      </c>
      <c r="D12" s="58">
        <f>Drivers!$K15*(1+(1+Drivers!$L15)^(L$7-1)-1)</f>
        <v>325</v>
      </c>
      <c r="E12" s="58">
        <f>Drivers!$K15*(1+(1+Drivers!$L15)^(M$7-1)-1)</f>
        <v>351</v>
      </c>
      <c r="F12" s="58">
        <f>Drivers!$K15*(1+(1+Drivers!$L15)^(N$7-1)-1)</f>
        <v>379.0800000000001</v>
      </c>
      <c r="G12" s="58">
        <f>Drivers!$K15*(1+(1+Drivers!$L15)^(O$7-1)-1)</f>
        <v>409.40640000000013</v>
      </c>
      <c r="H12" s="58">
        <f>Drivers!$K15*(1+(1+Drivers!$L15)^(P$7-1)-1)</f>
        <v>442.15891200000016</v>
      </c>
      <c r="I12" s="28"/>
      <c r="K12" s="58" t="s">
        <v>177</v>
      </c>
      <c r="L12" s="64">
        <f>Drivers!$K$22</f>
        <v>60</v>
      </c>
      <c r="M12" s="64">
        <f>SUM(L18:L19)</f>
        <v>100</v>
      </c>
      <c r="N12" s="64">
        <f t="shared" ref="N12:P12" si="0">SUM(M18:M19)</f>
        <v>100</v>
      </c>
      <c r="O12" s="64">
        <f t="shared" si="0"/>
        <v>100</v>
      </c>
      <c r="P12" s="64">
        <f t="shared" si="0"/>
        <v>100</v>
      </c>
      <c r="Q12" s="28"/>
      <c r="R12" s="171" t="s">
        <v>148</v>
      </c>
      <c r="S12" s="89">
        <f>Funding!$R$11</f>
        <v>0</v>
      </c>
      <c r="T12" s="89">
        <f>Funding!$M$12</f>
        <v>200</v>
      </c>
      <c r="U12" s="92">
        <f>Funding!$W$11</f>
        <v>0.17887243290109966</v>
      </c>
      <c r="V12" s="172"/>
    </row>
    <row r="13" spans="1:29" ht="13.8" customHeight="1" x14ac:dyDescent="0.3">
      <c r="B13" s="34"/>
      <c r="C13" s="170" t="s">
        <v>104</v>
      </c>
      <c r="D13" s="168">
        <f>L27</f>
        <v>16.228750000000002</v>
      </c>
      <c r="E13" s="118">
        <f>M27</f>
        <v>21.914170643159132</v>
      </c>
      <c r="F13" s="118">
        <f>N27</f>
        <v>24.721602539022761</v>
      </c>
      <c r="G13" s="118">
        <f>O27</f>
        <v>27.316610345762687</v>
      </c>
      <c r="H13" s="118">
        <f>P27</f>
        <v>29.678955514773097</v>
      </c>
      <c r="I13" s="28"/>
      <c r="J13" s="20"/>
      <c r="K13" s="195" t="s">
        <v>178</v>
      </c>
      <c r="L13" s="165">
        <f>SUM(L9:L10)-SUM(Drivers!K9:K10)</f>
        <v>3.5</v>
      </c>
      <c r="M13" s="165">
        <f>SUM(M9:M10)-SUM(L9:L10)</f>
        <v>3.6299999999999955</v>
      </c>
      <c r="N13" s="165">
        <f>SUM(N9:N10)-SUM(M9:M10)</f>
        <v>3.7651500000000055</v>
      </c>
      <c r="O13" s="165">
        <f>SUM(O9:O10)-SUM(N9:N10)</f>
        <v>3.9056670000000082</v>
      </c>
      <c r="P13" s="165">
        <f>SUM(P9:P10)-SUM(O9:O10)</f>
        <v>4.0517776349999934</v>
      </c>
      <c r="Q13" s="28"/>
      <c r="R13" s="173" t="s">
        <v>149</v>
      </c>
      <c r="S13" s="91">
        <f>Funding!$R$12</f>
        <v>75</v>
      </c>
      <c r="T13" s="91">
        <f>Funding!$M$13</f>
        <v>588.71527777777783</v>
      </c>
      <c r="U13" s="93">
        <f>Funding!$W$12</f>
        <v>0.52652467011078907</v>
      </c>
      <c r="V13" s="174"/>
    </row>
    <row r="14" spans="1:29" ht="13.8" customHeight="1" x14ac:dyDescent="0.3">
      <c r="C14" s="119" t="s">
        <v>105</v>
      </c>
      <c r="D14" s="118">
        <f>Drivers!$K16*(1+(1+Drivers!$L16)^(L$7-1)-1)</f>
        <v>25</v>
      </c>
      <c r="E14" s="118">
        <f>Drivers!$K16*(1+(1+Drivers!$L16)^(M$7-1)-1)</f>
        <v>26</v>
      </c>
      <c r="F14" s="118">
        <f>Drivers!$K16*(1+(1+Drivers!$L16)^(N$7-1)-1)</f>
        <v>27.04</v>
      </c>
      <c r="G14" s="118">
        <f>Drivers!$K16*(1+(1+Drivers!$L16)^(O$7-1)-1)</f>
        <v>28.121600000000001</v>
      </c>
      <c r="H14" s="118">
        <f>Drivers!$K16*(1+(1+Drivers!$L16)^(P$7-1)-1)</f>
        <v>29.246464000000007</v>
      </c>
      <c r="I14" s="28"/>
      <c r="J14" s="20"/>
      <c r="K14" s="118" t="s">
        <v>205</v>
      </c>
      <c r="L14" s="165">
        <f>Drivers!$P$26*Drivers!$H$15</f>
        <v>9.6693663735577573</v>
      </c>
      <c r="M14" s="165">
        <f>Drivers!$Q$25*Drivers!$H$15</f>
        <v>9.6693663735577573</v>
      </c>
      <c r="N14" s="165">
        <f>Drivers!$Q$26*Drivers!$H$15</f>
        <v>9.6693663735577573</v>
      </c>
      <c r="O14" s="165">
        <f>Drivers!$Q$27*Drivers!$H$15</f>
        <v>9.6693663735577573</v>
      </c>
      <c r="P14" s="165">
        <f>Drivers!$Q$28*Drivers!$H$15</f>
        <v>0</v>
      </c>
      <c r="Q14" s="28"/>
      <c r="R14" s="243" t="s">
        <v>150</v>
      </c>
      <c r="S14" s="244">
        <f>Funding!$R$15</f>
        <v>21.266337190751802</v>
      </c>
      <c r="T14" s="244">
        <f>Funding!$H$15</f>
        <v>28.381699175824174</v>
      </c>
      <c r="U14" s="245">
        <f>Funding!$W$15</f>
        <v>2.5383517907234025E-2</v>
      </c>
      <c r="V14" s="175"/>
    </row>
    <row r="15" spans="1:29" ht="13.8" customHeight="1" x14ac:dyDescent="0.3">
      <c r="C15" s="120" t="s">
        <v>106</v>
      </c>
      <c r="D15" s="118">
        <f>Drivers!$K25*(D8-SUM(D10,D12,D13))</f>
        <v>143.50849999999991</v>
      </c>
      <c r="E15" s="118">
        <f>Drivers!$K25*(E8-SUM(E10,E12,E13))</f>
        <v>158.83433174273634</v>
      </c>
      <c r="F15" s="118">
        <f>Drivers!$K25*(F8-SUM(F10,F12,F13))</f>
        <v>176.71935898439116</v>
      </c>
      <c r="G15" s="118">
        <f>Drivers!$K25*(G8-SUM(G10,G12,G13))</f>
        <v>196.19319586169513</v>
      </c>
      <c r="H15" s="118">
        <f>Drivers!$K25*(H8-SUM(H10,H12,H13))</f>
        <v>217.36559699409099</v>
      </c>
      <c r="I15" s="28"/>
      <c r="J15" s="20"/>
      <c r="K15" s="196" t="s">
        <v>179</v>
      </c>
      <c r="L15" s="165">
        <f>-D14</f>
        <v>-25</v>
      </c>
      <c r="M15" s="165">
        <f>-E14</f>
        <v>-26</v>
      </c>
      <c r="N15" s="165">
        <f>-F14</f>
        <v>-27.04</v>
      </c>
      <c r="O15" s="165">
        <f>-G14</f>
        <v>-28.121600000000001</v>
      </c>
      <c r="P15" s="165">
        <f>-H14</f>
        <v>-29.246464000000007</v>
      </c>
      <c r="Q15" s="28"/>
      <c r="R15" s="417" t="s">
        <v>82</v>
      </c>
      <c r="S15" s="417"/>
      <c r="T15" s="417"/>
      <c r="U15" s="417"/>
      <c r="V15" s="102"/>
    </row>
    <row r="16" spans="1:29" ht="13.8" customHeight="1" x14ac:dyDescent="0.3">
      <c r="C16" s="122" t="s">
        <v>37</v>
      </c>
      <c r="D16" s="123">
        <f>Drivers!$K17*(1+(1+Drivers!$L17)^(L$7-1)-1)</f>
        <v>75</v>
      </c>
      <c r="E16" s="123">
        <f>Drivers!$K17*(1+(1+Drivers!$L17)^(M$7-1)-1)</f>
        <v>82.5</v>
      </c>
      <c r="F16" s="123">
        <f>Drivers!$K17*(1+(1+Drivers!$L17)^(N$7-1)-1)</f>
        <v>90.75</v>
      </c>
      <c r="G16" s="123">
        <f>Drivers!$K17*(1+(1+Drivers!$L17)^(O$7-1)-1)</f>
        <v>99.825000000000031</v>
      </c>
      <c r="H16" s="123">
        <f>Drivers!$K17*(1+(1+Drivers!$L17)^(P$7-1)-1)</f>
        <v>109.80750000000002</v>
      </c>
      <c r="I16" s="31"/>
      <c r="J16" s="20"/>
      <c r="K16" s="205" t="s">
        <v>180</v>
      </c>
      <c r="L16" s="206">
        <f>-Drivers!K17</f>
        <v>-75</v>
      </c>
      <c r="M16" s="206">
        <f>L16*(1+Drivers!$L17)</f>
        <v>-82.5</v>
      </c>
      <c r="N16" s="206">
        <f>M16*(1+Drivers!$L17)</f>
        <v>-90.750000000000014</v>
      </c>
      <c r="O16" s="206">
        <f>N16*(1+Drivers!$L17)</f>
        <v>-99.825000000000017</v>
      </c>
      <c r="P16" s="206">
        <f>O16*(1+Drivers!$L17)</f>
        <v>-109.80750000000003</v>
      </c>
      <c r="Q16" s="28"/>
      <c r="R16" s="418"/>
      <c r="S16" s="418"/>
      <c r="T16" s="418"/>
      <c r="U16" s="418"/>
      <c r="V16" s="127"/>
    </row>
    <row r="17" spans="2:22" ht="13.8" customHeight="1" x14ac:dyDescent="0.3">
      <c r="C17" s="204" t="s">
        <v>257</v>
      </c>
      <c r="D17" s="201">
        <f>D9-SUM(D11:D16)</f>
        <v>50.105517295597565</v>
      </c>
      <c r="E17" s="201">
        <f t="shared" ref="E17:H17" si="1">E9-SUM(E11:E16)</f>
        <v>59.751497614104665</v>
      </c>
      <c r="F17" s="201">
        <f>F9-SUM(F11:F16)</f>
        <v>72.109038476586193</v>
      </c>
      <c r="G17" s="201">
        <f t="shared" si="1"/>
        <v>85.623393792543538</v>
      </c>
      <c r="H17" s="201">
        <f t="shared" si="1"/>
        <v>100.35099349113625</v>
      </c>
      <c r="I17" s="28"/>
      <c r="J17" s="20"/>
      <c r="K17" s="207" t="s">
        <v>207</v>
      </c>
      <c r="L17" s="208">
        <f>D17</f>
        <v>50.105517295597565</v>
      </c>
      <c r="M17" s="208">
        <f>E17</f>
        <v>59.751497614104665</v>
      </c>
      <c r="N17" s="208">
        <f>F17</f>
        <v>72.109038476586193</v>
      </c>
      <c r="O17" s="208">
        <f>G17</f>
        <v>85.623393792543538</v>
      </c>
      <c r="P17" s="208">
        <f>H17</f>
        <v>100.35099349113625</v>
      </c>
      <c r="Q17" s="28"/>
      <c r="R17" s="176" t="s">
        <v>155</v>
      </c>
      <c r="S17" s="177" t="s">
        <v>143</v>
      </c>
      <c r="T17" s="178" t="s">
        <v>78</v>
      </c>
      <c r="U17" s="178" t="s">
        <v>38</v>
      </c>
      <c r="V17" s="190"/>
    </row>
    <row r="18" spans="2:22" ht="13.8" customHeight="1" x14ac:dyDescent="0.3">
      <c r="C18" s="204" t="s">
        <v>4</v>
      </c>
      <c r="D18" s="201">
        <f>D8-D10-D12</f>
        <v>375</v>
      </c>
      <c r="E18" s="58"/>
      <c r="F18" s="115"/>
      <c r="G18" s="115"/>
      <c r="H18" s="115"/>
      <c r="I18" s="28"/>
      <c r="J18" s="20"/>
      <c r="K18" s="58" t="s">
        <v>181</v>
      </c>
      <c r="L18" s="64">
        <f>SUM(L12:L17)</f>
        <v>23.274883669155315</v>
      </c>
      <c r="M18" s="64">
        <f>SUM(M12:M17)</f>
        <v>64.55086398766241</v>
      </c>
      <c r="N18" s="64">
        <f>SUM(N12:N17)</f>
        <v>67.753554850143942</v>
      </c>
      <c r="O18" s="64">
        <f>SUM(O12:O17)</f>
        <v>71.251827166101293</v>
      </c>
      <c r="P18" s="64">
        <f>SUM(P12:P17)</f>
        <v>65.348807126136208</v>
      </c>
      <c r="Q18" s="28"/>
      <c r="R18" s="179" t="s">
        <v>162</v>
      </c>
      <c r="S18" s="191"/>
      <c r="T18" s="95"/>
      <c r="U18" s="95"/>
      <c r="V18" s="180"/>
    </row>
    <row r="19" spans="2:22" ht="13.8" customHeight="1" x14ac:dyDescent="0.3">
      <c r="C19" s="204" t="s">
        <v>3</v>
      </c>
      <c r="D19" s="201">
        <f>D18-SUM(D13,D15)</f>
        <v>215.2627500000001</v>
      </c>
      <c r="E19" s="64"/>
      <c r="F19" s="28"/>
      <c r="G19" s="28"/>
      <c r="H19" s="28"/>
      <c r="I19" s="28"/>
      <c r="J19" s="20"/>
      <c r="K19" s="197" t="s">
        <v>182</v>
      </c>
      <c r="L19" s="192">
        <f>IF(L18 &lt;Drivers!K23,Drivers!K23 - L18, IF(Drivers!$K$11 &gt; 0, - MIN(L18 -Drivers!K23,Drivers!$K$11), 0))</f>
        <v>76.725116330844685</v>
      </c>
      <c r="M19" s="192">
        <f>IF(M18 &lt;Drivers!K23,Drivers!K23 - M18, IF(L20 &gt; 0, - MIN(M18 -Drivers!K23,L20), 0))</f>
        <v>35.44913601233759</v>
      </c>
      <c r="N19" s="192">
        <f>IF(N18 &lt;Drivers!K23,Drivers!K23 - N18, IF(M20 &gt; 0, - MIN(N18 -Drivers!K23,M20), 0))</f>
        <v>32.246445149856058</v>
      </c>
      <c r="O19" s="192">
        <f>IF(O18 &lt;Drivers!K23,Drivers!K23 - O18, IF(N20 &gt; 0, - MIN(O18 -Drivers!K23,N20), 0))</f>
        <v>28.748172833898707</v>
      </c>
      <c r="P19" s="192">
        <f>IF(P18 &lt;Drivers!K23,Drivers!K23 - P18, IF(O20 &gt; 0, - MIN(P18 -Drivers!K23,O20), 0))</f>
        <v>34.651192873863792</v>
      </c>
      <c r="Q19" s="28"/>
      <c r="R19" s="184" t="s">
        <v>156</v>
      </c>
      <c r="S19" s="94" t="s">
        <v>72</v>
      </c>
      <c r="T19" s="95">
        <f>Funding!$H$14</f>
        <v>1118.1152777777777</v>
      </c>
      <c r="U19" s="95">
        <f>Funding!$R$16</f>
        <v>1145.844857328123</v>
      </c>
      <c r="V19" s="181"/>
    </row>
    <row r="20" spans="2:22" ht="13.8" customHeight="1" x14ac:dyDescent="0.3">
      <c r="C20" s="56"/>
      <c r="D20" s="115"/>
      <c r="E20" s="115"/>
      <c r="F20" s="115"/>
      <c r="G20" s="115"/>
      <c r="H20" s="115"/>
      <c r="I20" s="28"/>
      <c r="J20" s="20"/>
      <c r="K20" s="198" t="s">
        <v>176</v>
      </c>
      <c r="L20" s="193">
        <f>Drivers!$K$11+L19</f>
        <v>176.72511633084468</v>
      </c>
      <c r="M20" s="193">
        <f>L20+M19</f>
        <v>212.17425234318227</v>
      </c>
      <c r="N20" s="193">
        <f t="shared" ref="N20:P20" si="2">M20+N19</f>
        <v>244.42069749303835</v>
      </c>
      <c r="O20" s="193">
        <f t="shared" si="2"/>
        <v>273.16887032693705</v>
      </c>
      <c r="P20" s="193">
        <f t="shared" si="2"/>
        <v>307.82006320080086</v>
      </c>
      <c r="Q20" s="28"/>
      <c r="R20" s="182" t="s">
        <v>157</v>
      </c>
      <c r="S20" s="96" t="s">
        <v>72</v>
      </c>
      <c r="T20" s="97">
        <f>Funding!$H$16</f>
        <v>1146.4969769536019</v>
      </c>
      <c r="U20" s="97">
        <f>Valuation!$F$11</f>
        <v>859.06735706795018</v>
      </c>
      <c r="V20" s="183"/>
    </row>
    <row r="21" spans="2:22" ht="13.8" customHeight="1" x14ac:dyDescent="0.3">
      <c r="I21" s="28"/>
      <c r="K21" s="115" t="s">
        <v>25</v>
      </c>
      <c r="L21" s="194">
        <f>SUM(L9:L10,L20)</f>
        <v>280.22511633084468</v>
      </c>
      <c r="M21" s="194">
        <f>SUM(M9:M10,M20)</f>
        <v>319.30425234318227</v>
      </c>
      <c r="N21" s="194">
        <f>SUM(N9:N10,N20)</f>
        <v>355.31584749303835</v>
      </c>
      <c r="O21" s="194">
        <f>SUM(O9:O10,O20)</f>
        <v>387.96968732693705</v>
      </c>
      <c r="P21" s="194">
        <f>SUM(P9:P10,P20)</f>
        <v>426.67265783580086</v>
      </c>
      <c r="Q21" s="28"/>
      <c r="R21" s="179" t="s">
        <v>170</v>
      </c>
      <c r="S21" s="94"/>
      <c r="T21" s="95"/>
      <c r="U21" s="95"/>
      <c r="V21" s="180"/>
    </row>
    <row r="22" spans="2:22" ht="13.8" customHeight="1" x14ac:dyDescent="0.3">
      <c r="C22" s="56"/>
      <c r="D22" s="28"/>
      <c r="E22" s="56"/>
      <c r="F22" s="28"/>
      <c r="G22" s="28"/>
      <c r="H22" s="28"/>
      <c r="I22" s="28"/>
      <c r="Q22" s="28"/>
      <c r="R22" s="184" t="s">
        <v>211</v>
      </c>
      <c r="S22" s="94" t="s">
        <v>72</v>
      </c>
      <c r="T22" s="95">
        <f>Factors!$D$13</f>
        <v>1318.1152777777777</v>
      </c>
      <c r="U22" s="95">
        <f>Valuation!$I$11</f>
        <v>922.68069444444427</v>
      </c>
      <c r="V22" s="181"/>
    </row>
    <row r="23" spans="2:22" ht="13.8" customHeight="1" x14ac:dyDescent="0.3">
      <c r="I23" s="56"/>
      <c r="J23" s="204" t="s">
        <v>104</v>
      </c>
      <c r="K23" s="204"/>
      <c r="Q23" s="28"/>
      <c r="R23" s="182" t="s">
        <v>212</v>
      </c>
      <c r="S23" s="96" t="s">
        <v>72</v>
      </c>
      <c r="T23" s="97">
        <f>Factors!$D$20</f>
        <v>1344.8875395933171</v>
      </c>
      <c r="U23" s="97">
        <f>Valuation!$I$24</f>
        <v>863.42127771532193</v>
      </c>
      <c r="V23" s="183"/>
    </row>
    <row r="24" spans="2:22" ht="13.8" customHeight="1" x14ac:dyDescent="0.3">
      <c r="I24" s="58"/>
      <c r="K24" s="210" t="s">
        <v>174</v>
      </c>
      <c r="L24" s="211">
        <f>L9*Drivers!$M$9</f>
        <v>1.89</v>
      </c>
      <c r="M24" s="211">
        <f>M9*Drivers!$M$9</f>
        <v>1.9844999999999999</v>
      </c>
      <c r="N24" s="211">
        <f>N9*Drivers!$M$9</f>
        <v>2.0837249999999998</v>
      </c>
      <c r="O24" s="211">
        <f>O9*Drivers!$M$9</f>
        <v>2.18791125</v>
      </c>
      <c r="P24" s="211">
        <f>P9*Drivers!$M$9</f>
        <v>2.2973068125</v>
      </c>
      <c r="Q24" s="56"/>
      <c r="R24" s="179" t="s">
        <v>171</v>
      </c>
      <c r="S24" s="94"/>
      <c r="T24" s="98"/>
      <c r="U24" s="95"/>
      <c r="V24" s="180"/>
    </row>
    <row r="25" spans="2:22" ht="13.8" customHeight="1" x14ac:dyDescent="0.3">
      <c r="I25" s="131"/>
      <c r="K25" s="199" t="s">
        <v>175</v>
      </c>
      <c r="L25" s="209">
        <f>L10*Drivers!$M$10</f>
        <v>7.3387500000000001</v>
      </c>
      <c r="M25" s="209">
        <f>M10*Drivers!$M$10</f>
        <v>7.5589124999999999</v>
      </c>
      <c r="N25" s="209">
        <f>N10*Drivers!$M$10</f>
        <v>7.7856798750000005</v>
      </c>
      <c r="O25" s="209">
        <f>O10*Drivers!$M$10</f>
        <v>8.0192502712499998</v>
      </c>
      <c r="P25" s="209">
        <f>P10*Drivers!$M$10</f>
        <v>8.2598277793874999</v>
      </c>
      <c r="Q25" s="58"/>
      <c r="R25" s="184" t="s">
        <v>158</v>
      </c>
      <c r="S25" s="94" t="s">
        <v>71</v>
      </c>
      <c r="T25" s="98"/>
      <c r="U25" s="95">
        <f>IFERROR(Valuation!$L$13,"")</f>
        <v>3137.7551020408164</v>
      </c>
      <c r="V25" s="181"/>
    </row>
    <row r="26" spans="2:22" ht="13.8" customHeight="1" x14ac:dyDescent="0.3">
      <c r="C26" s="28"/>
      <c r="D26" s="128"/>
      <c r="E26" s="131"/>
      <c r="F26" s="131"/>
      <c r="G26" s="131"/>
      <c r="H26" s="131"/>
      <c r="I26" s="28"/>
      <c r="K26" s="212" t="s">
        <v>74</v>
      </c>
      <c r="L26" s="169">
        <f>Drivers!$K$11*Drivers!$M$11</f>
        <v>7.0000000000000009</v>
      </c>
      <c r="M26" s="169">
        <f>L20*Drivers!$M$11</f>
        <v>12.370758143159129</v>
      </c>
      <c r="N26" s="169">
        <f>M20*Drivers!$M$11</f>
        <v>14.852197664022761</v>
      </c>
      <c r="O26" s="169">
        <f>N20*Drivers!$M$11</f>
        <v>17.109448824512686</v>
      </c>
      <c r="P26" s="169">
        <f>O20*Drivers!$M$11</f>
        <v>19.121820922885597</v>
      </c>
      <c r="Q26" s="131"/>
      <c r="R26" s="182" t="s">
        <v>159</v>
      </c>
      <c r="S26" s="96" t="s">
        <v>72</v>
      </c>
      <c r="T26" s="99"/>
      <c r="U26" s="97">
        <f>IFERROR(Valuation!$L$24,"")</f>
        <v>2843.3350772357735</v>
      </c>
      <c r="V26" s="183"/>
    </row>
    <row r="27" spans="2:22" ht="13.8" customHeight="1" x14ac:dyDescent="0.3">
      <c r="C27" s="56"/>
      <c r="D27" s="121"/>
      <c r="E27" s="121"/>
      <c r="F27" s="28"/>
      <c r="G27" s="28"/>
      <c r="H27" s="28"/>
      <c r="K27" s="115" t="s">
        <v>25</v>
      </c>
      <c r="L27" s="194">
        <f>SUM(L24:L26)</f>
        <v>16.228750000000002</v>
      </c>
      <c r="M27" s="194">
        <f>SUM(M24:M26)</f>
        <v>21.914170643159132</v>
      </c>
      <c r="N27" s="194">
        <f>SUM(N24:N26)</f>
        <v>24.721602539022761</v>
      </c>
      <c r="O27" s="194">
        <f>SUM(O24:O26)</f>
        <v>27.316610345762687</v>
      </c>
      <c r="P27" s="194">
        <f>SUM(P24:P26)</f>
        <v>29.678955514773097</v>
      </c>
      <c r="Q27" s="28"/>
      <c r="R27" s="179" t="s">
        <v>172</v>
      </c>
      <c r="S27" s="94"/>
      <c r="T27" s="98"/>
      <c r="U27" s="95"/>
      <c r="V27" s="180"/>
    </row>
    <row r="28" spans="2:22" ht="13.8" customHeight="1" x14ac:dyDescent="0.3">
      <c r="B28" s="49"/>
      <c r="C28" s="56"/>
      <c r="D28" s="121"/>
      <c r="E28" s="121"/>
      <c r="F28" s="28"/>
      <c r="G28" s="28"/>
      <c r="H28" s="28"/>
      <c r="I28" s="28"/>
      <c r="Q28" s="28"/>
      <c r="R28" s="184" t="s">
        <v>160</v>
      </c>
      <c r="S28" s="94" t="s">
        <v>71</v>
      </c>
      <c r="T28" s="98"/>
      <c r="U28" s="95">
        <f>IFERROR(Valuation!$O$13,"")</f>
        <v>699.2975005974755</v>
      </c>
      <c r="V28" s="181"/>
    </row>
    <row r="29" spans="2:22" ht="13.8" customHeight="1" x14ac:dyDescent="0.3">
      <c r="C29" s="56"/>
      <c r="D29" s="106"/>
      <c r="E29" s="56"/>
      <c r="F29" s="28"/>
      <c r="G29" s="28"/>
      <c r="H29" s="28"/>
      <c r="I29" s="28"/>
      <c r="Q29" s="28"/>
      <c r="R29" s="185" t="s">
        <v>161</v>
      </c>
      <c r="S29" s="186" t="s">
        <v>72</v>
      </c>
      <c r="T29" s="187"/>
      <c r="U29" s="188">
        <f>IFERROR(Valuation!$O$27,"")</f>
        <v>490.96686697103326</v>
      </c>
      <c r="V29" s="189"/>
    </row>
  </sheetData>
  <sheetProtection algorithmName="SHA-512" hashValue="8pkbtWdvlEQTFZoW/RTjxwDvb/w5bBcc5gSqzLjWZ8FABtyn8D9EosW9YDXDVaOdcrDguz70tXCAO9qYdrLplw==" saltValue="PH71c2240dFTf7m1cjV4cw==" spinCount="100000" sheet="1" objects="1" scenarios="1" selectLockedCells="1" selectUnlockedCells="1"/>
  <mergeCells count="4">
    <mergeCell ref="R15:U16"/>
    <mergeCell ref="J5:P5"/>
    <mergeCell ref="C5:H5"/>
    <mergeCell ref="R5:V6"/>
  </mergeCells>
  <phoneticPr fontId="10" type="noConversion"/>
  <printOptions horizontalCentered="1"/>
  <pageMargins left="0.5" right="0.5" top="0.75" bottom="0.5" header="0.3" footer="0.3"/>
  <pageSetup scale="72" orientation="landscape" r:id="rId1"/>
  <headerFooter scaleWithDoc="0" alignWithMargins="0">
    <oddFooter>&amp;L&amp;10Forecast&amp;R&amp;10Updated &amp;D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12C7-91B2-44A7-94B5-627A60B728F4}">
  <sheetPr>
    <tabColor theme="8" tint="0.79998168889431442"/>
    <pageSetUpPr fitToPage="1"/>
  </sheetPr>
  <dimension ref="A1:AC29"/>
  <sheetViews>
    <sheetView showGridLines="0" showRowColHeaders="0" zoomScaleNormal="100" workbookViewId="0">
      <selection activeCell="R25" sqref="R25:R29"/>
    </sheetView>
  </sheetViews>
  <sheetFormatPr defaultColWidth="9.109375" defaultRowHeight="14.4" x14ac:dyDescent="0.3"/>
  <cols>
    <col min="1" max="1" width="3.21875" style="20" bestFit="1" customWidth="1"/>
    <col min="2" max="2" width="4.77734375" style="20" customWidth="1"/>
    <col min="3" max="3" width="22.21875" style="10" customWidth="1"/>
    <col min="4" max="4" width="9.109375" style="10" customWidth="1"/>
    <col min="5" max="5" width="9.44140625" style="273" customWidth="1"/>
    <col min="6" max="6" width="14.21875" style="273" customWidth="1"/>
    <col min="7" max="7" width="4.5546875" style="273" customWidth="1"/>
    <col min="8" max="8" width="4" style="273" customWidth="1"/>
    <col min="9" max="9" width="8.21875" style="273" customWidth="1"/>
    <col min="10" max="10" width="7.109375" style="273" customWidth="1"/>
    <col min="11" max="11" width="2.77734375" style="273" customWidth="1"/>
    <col min="12" max="12" width="6.109375" style="273" customWidth="1"/>
    <col min="13" max="13" width="1.77734375" style="273" customWidth="1"/>
    <col min="14" max="14" width="9.44140625" style="20" customWidth="1"/>
    <col min="15" max="15" width="12" style="20" bestFit="1" customWidth="1"/>
    <col min="16" max="18" width="8.5546875" style="59" customWidth="1"/>
    <col min="19" max="19" width="0.88671875" style="59" customWidth="1"/>
    <col min="20" max="16384" width="9.109375" style="20"/>
  </cols>
  <sheetData>
    <row r="1" spans="1:29" s="6" customFormat="1" ht="10.199999999999999" x14ac:dyDescent="0.2">
      <c r="A1" s="49" t="s">
        <v>7</v>
      </c>
      <c r="B1" s="5"/>
    </row>
    <row r="2" spans="1:29" s="49" customFormat="1" ht="13.8" customHeight="1" x14ac:dyDescent="0.2">
      <c r="A2" s="7"/>
      <c r="B2" s="7"/>
      <c r="C2" s="4"/>
      <c r="D2" s="4"/>
      <c r="E2" s="2"/>
      <c r="F2" s="2"/>
      <c r="G2" s="2"/>
      <c r="H2" s="2"/>
      <c r="I2" s="2"/>
      <c r="J2" s="2"/>
      <c r="K2" s="2"/>
      <c r="L2" s="65"/>
      <c r="N2" s="65"/>
      <c r="O2" s="2"/>
      <c r="P2" s="2"/>
      <c r="Q2" s="2"/>
      <c r="R2" s="2"/>
      <c r="S2" s="2"/>
      <c r="T2" s="2"/>
    </row>
    <row r="3" spans="1:29" s="2" customFormat="1" ht="31.8" customHeight="1" x14ac:dyDescent="0.45">
      <c r="A3" s="7"/>
      <c r="B3" s="7"/>
      <c r="C3" s="416" t="s">
        <v>245</v>
      </c>
      <c r="D3" s="416"/>
      <c r="E3" s="7"/>
      <c r="Q3" s="7"/>
      <c r="S3" s="82"/>
      <c r="T3" s="82"/>
      <c r="U3" s="82"/>
    </row>
    <row r="4" spans="1:29" s="55" customFormat="1" ht="7.8" customHeight="1" x14ac:dyDescent="0.3">
      <c r="A4" s="78"/>
      <c r="B4" s="78"/>
      <c r="G4" s="235"/>
      <c r="L4" s="80"/>
      <c r="S4" s="236"/>
      <c r="U4" s="80"/>
    </row>
    <row r="5" spans="1:29" s="22" customFormat="1" ht="16.8" x14ac:dyDescent="0.3">
      <c r="C5" s="427" t="s">
        <v>192</v>
      </c>
      <c r="D5" s="427"/>
      <c r="E5" s="249"/>
      <c r="F5" s="432" t="s">
        <v>251</v>
      </c>
      <c r="G5" s="432"/>
      <c r="H5" s="432"/>
      <c r="I5" s="432"/>
      <c r="J5" s="432"/>
      <c r="K5" s="432"/>
      <c r="L5" s="432"/>
      <c r="M5" s="339"/>
      <c r="O5" s="421" t="s">
        <v>147</v>
      </c>
      <c r="P5" s="421"/>
      <c r="Q5" s="421"/>
      <c r="R5" s="421"/>
      <c r="S5" s="421"/>
    </row>
    <row r="6" spans="1:29" s="49" customFormat="1" ht="3.6" customHeight="1" x14ac:dyDescent="0.2">
      <c r="G6" s="282"/>
      <c r="H6" s="282"/>
      <c r="J6" s="52"/>
      <c r="K6" s="52"/>
      <c r="L6" s="52"/>
      <c r="M6" s="52"/>
      <c r="O6" s="422"/>
      <c r="P6" s="422"/>
      <c r="Q6" s="422"/>
      <c r="R6" s="422"/>
      <c r="S6" s="422"/>
      <c r="T6" s="59"/>
      <c r="U6" s="59"/>
      <c r="V6" s="59"/>
      <c r="W6" s="59"/>
      <c r="X6" s="59"/>
      <c r="Y6" s="20"/>
      <c r="Z6" s="59"/>
      <c r="AA6" s="59"/>
      <c r="AB6" s="59"/>
      <c r="AC6" s="59"/>
    </row>
    <row r="7" spans="1:29" s="101" customFormat="1" ht="15" customHeight="1" x14ac:dyDescent="0.3">
      <c r="A7" s="81"/>
      <c r="B7" s="81"/>
      <c r="C7" s="391" t="s">
        <v>241</v>
      </c>
      <c r="D7" s="296"/>
      <c r="E7" s="296"/>
      <c r="F7" s="392" t="s">
        <v>266</v>
      </c>
      <c r="G7" s="296"/>
      <c r="H7" s="296"/>
      <c r="I7" s="100"/>
      <c r="K7" s="224"/>
      <c r="L7" s="296"/>
      <c r="M7" s="296"/>
      <c r="N7" s="296"/>
      <c r="O7" s="176" t="s">
        <v>191</v>
      </c>
      <c r="P7" s="178" t="s">
        <v>146</v>
      </c>
      <c r="Q7" s="178" t="s">
        <v>78</v>
      </c>
      <c r="R7" s="178" t="s">
        <v>144</v>
      </c>
      <c r="S7" s="393"/>
    </row>
    <row r="8" spans="1:29" ht="13.8" customHeight="1" x14ac:dyDescent="0.3">
      <c r="C8" s="323" t="s">
        <v>242</v>
      </c>
      <c r="D8" s="358">
        <f>Funding!$H$14</f>
        <v>1118.1152777777777</v>
      </c>
      <c r="E8" s="213"/>
      <c r="F8" s="338" t="s">
        <v>249</v>
      </c>
      <c r="G8" s="20"/>
      <c r="H8" s="20"/>
      <c r="I8" s="231" t="s">
        <v>250</v>
      </c>
      <c r="L8" s="20"/>
      <c r="M8" s="20"/>
      <c r="O8" s="265" t="s">
        <v>145</v>
      </c>
      <c r="P8" s="89">
        <f>SUM(Funding!$O$8:$R$8)</f>
        <v>35</v>
      </c>
      <c r="Q8" s="89">
        <f>Funding!$M$9</f>
        <v>50</v>
      </c>
      <c r="R8" s="266">
        <f>Funding!$W$8</f>
        <v>4.4718108225274916E-2</v>
      </c>
      <c r="S8" s="267"/>
    </row>
    <row r="9" spans="1:29" ht="13.8" customHeight="1" x14ac:dyDescent="0.3">
      <c r="C9" s="322" t="s">
        <v>235</v>
      </c>
      <c r="D9" s="359">
        <f>Drivers!$P$22</f>
        <v>100</v>
      </c>
      <c r="E9" s="213"/>
      <c r="F9" s="336" t="s">
        <v>246</v>
      </c>
      <c r="G9" s="355">
        <f>Drivers!$P$16</f>
        <v>0.05</v>
      </c>
      <c r="H9" s="325"/>
      <c r="I9" s="262" t="s">
        <v>259</v>
      </c>
      <c r="L9" s="61"/>
      <c r="M9" s="61"/>
      <c r="O9" s="265" t="s">
        <v>151</v>
      </c>
      <c r="P9" s="89">
        <f>SUM(Funding!$O$9:$R$9)</f>
        <v>32.032967032967036</v>
      </c>
      <c r="Q9" s="89">
        <f>Funding!$M$10</f>
        <v>92.4</v>
      </c>
      <c r="R9" s="266">
        <f>Funding!$W$9</f>
        <v>8.2639064000308057E-2</v>
      </c>
      <c r="S9" s="267"/>
    </row>
    <row r="10" spans="1:29" ht="13.8" customHeight="1" x14ac:dyDescent="0.3">
      <c r="C10" s="322" t="s">
        <v>236</v>
      </c>
      <c r="D10" s="359">
        <f>Drivers!$P$23</f>
        <v>100</v>
      </c>
      <c r="E10" s="213"/>
      <c r="F10" s="341" t="s">
        <v>247</v>
      </c>
      <c r="G10" s="216">
        <f>Drivers!$P$14</f>
        <v>0.08</v>
      </c>
      <c r="H10" s="221"/>
      <c r="I10" s="218" t="str">
        <f>TEXT(G9,"0.0%")&amp;" + ("&amp;TEXT(G10,"0.0%")&amp;" ⎯ "&amp;TEXT(G9,"0.0%")&amp;")  x "&amp;TEXT(G11,"0.0")</f>
        <v>5.0% + (8.0% ⎯ 5.0%)  x 1.2</v>
      </c>
      <c r="J10" s="356"/>
      <c r="K10" s="356"/>
      <c r="L10" s="357"/>
      <c r="M10" s="357"/>
      <c r="O10" s="268" t="s">
        <v>152</v>
      </c>
      <c r="P10" s="90">
        <f>SUM(Funding!$O$10:$R$10)</f>
        <v>32.967032967032971</v>
      </c>
      <c r="Q10" s="90">
        <f>Funding!$M$11</f>
        <v>72</v>
      </c>
      <c r="R10" s="269">
        <f>Funding!$W$10</f>
        <v>6.4394075844395882E-2</v>
      </c>
      <c r="S10" s="270"/>
    </row>
    <row r="11" spans="1:29" ht="13.8" customHeight="1" x14ac:dyDescent="0.3">
      <c r="B11" s="217"/>
      <c r="C11" s="334" t="s">
        <v>237</v>
      </c>
      <c r="D11" s="360">
        <f>-ABS(Drivers!P24)</f>
        <v>-20</v>
      </c>
      <c r="E11" s="274"/>
      <c r="F11" s="323" t="s">
        <v>248</v>
      </c>
      <c r="G11" s="337">
        <f>Drivers!P15</f>
        <v>1.2</v>
      </c>
      <c r="H11" s="222"/>
      <c r="I11" s="369">
        <f>G9+(G10-G9)*G11</f>
        <v>8.5999999999999993E-2</v>
      </c>
      <c r="L11" s="61"/>
      <c r="M11" s="61"/>
      <c r="O11" s="271" t="s">
        <v>154</v>
      </c>
      <c r="P11" s="91">
        <f>SUM(Funding!$O$13:$R$13)</f>
        <v>449.57852013737119</v>
      </c>
      <c r="Q11" s="91">
        <f>Funding!$M$14</f>
        <v>115</v>
      </c>
      <c r="R11" s="92">
        <f>Funding!$W$13</f>
        <v>0.10285164891813231</v>
      </c>
      <c r="S11" s="272"/>
    </row>
    <row r="12" spans="1:29" ht="13.8" customHeight="1" x14ac:dyDescent="0.3">
      <c r="C12" s="335" t="s">
        <v>238</v>
      </c>
      <c r="D12" s="361">
        <f>Drivers!P26</f>
        <v>20</v>
      </c>
      <c r="E12" s="274"/>
      <c r="G12" s="20"/>
      <c r="H12" s="20"/>
      <c r="I12" s="20"/>
      <c r="J12" s="8"/>
      <c r="K12" s="8"/>
      <c r="L12" s="61"/>
      <c r="M12" s="61"/>
      <c r="O12" s="171" t="s">
        <v>148</v>
      </c>
      <c r="P12" s="89">
        <f>Funding!$R$11</f>
        <v>0</v>
      </c>
      <c r="Q12" s="89">
        <f>Funding!$M$12</f>
        <v>200</v>
      </c>
      <c r="R12" s="92">
        <f>Funding!$W$11</f>
        <v>0.17887243290109966</v>
      </c>
      <c r="S12" s="172"/>
    </row>
    <row r="13" spans="1:29" ht="13.8" customHeight="1" x14ac:dyDescent="0.3">
      <c r="C13" s="333" t="s">
        <v>42</v>
      </c>
      <c r="D13" s="362">
        <f>SUM(D8:D12)</f>
        <v>1318.1152777777777</v>
      </c>
      <c r="E13" s="274"/>
      <c r="F13" s="204" t="s">
        <v>256</v>
      </c>
      <c r="G13" s="128"/>
      <c r="H13" s="128"/>
      <c r="I13" s="128"/>
      <c r="J13" s="128"/>
      <c r="K13" s="128"/>
      <c r="L13" s="262"/>
      <c r="M13" s="262"/>
      <c r="O13" s="173" t="s">
        <v>149</v>
      </c>
      <c r="P13" s="91">
        <f>Funding!$R$12</f>
        <v>75</v>
      </c>
      <c r="Q13" s="91">
        <f>Funding!$M$13</f>
        <v>588.71527777777783</v>
      </c>
      <c r="R13" s="93">
        <f>Funding!$W$12</f>
        <v>0.52652467011078907</v>
      </c>
      <c r="S13" s="174"/>
    </row>
    <row r="14" spans="1:29" ht="13.8" customHeight="1" x14ac:dyDescent="0.3">
      <c r="C14" s="64"/>
      <c r="D14" s="363"/>
      <c r="E14" s="274"/>
      <c r="F14" s="338" t="s">
        <v>252</v>
      </c>
      <c r="G14" s="433" t="s">
        <v>6</v>
      </c>
      <c r="H14" s="433"/>
      <c r="I14" s="232" t="s">
        <v>183</v>
      </c>
      <c r="J14" s="232" t="s">
        <v>184</v>
      </c>
      <c r="K14" s="338" t="s">
        <v>258</v>
      </c>
      <c r="M14" s="231"/>
      <c r="O14" s="243" t="s">
        <v>150</v>
      </c>
      <c r="P14" s="244">
        <f>Funding!$R$15</f>
        <v>21.266337190751802</v>
      </c>
      <c r="Q14" s="244">
        <f>Funding!$H$15</f>
        <v>28.381699175824174</v>
      </c>
      <c r="R14" s="245">
        <f>Funding!$W$15</f>
        <v>2.5383517907234025E-2</v>
      </c>
      <c r="S14" s="175"/>
    </row>
    <row r="15" spans="1:29" ht="13.8" customHeight="1" x14ac:dyDescent="0.3">
      <c r="C15" s="224" t="s">
        <v>232</v>
      </c>
      <c r="D15" s="364"/>
      <c r="E15" s="274"/>
      <c r="F15" s="342" t="s">
        <v>72</v>
      </c>
      <c r="G15" s="434">
        <f>Valuation!$I$11</f>
        <v>922.68069444444427</v>
      </c>
      <c r="H15" s="434"/>
      <c r="I15" s="343">
        <f>G15/SUM(G$15:G$15)</f>
        <v>1</v>
      </c>
      <c r="J15" s="344">
        <f>G9+(G10-G9)*G11</f>
        <v>8.5999999999999993E-2</v>
      </c>
      <c r="K15" s="344"/>
      <c r="L15" s="370">
        <f>J15*I15</f>
        <v>8.5999999999999993E-2</v>
      </c>
      <c r="M15" s="344"/>
      <c r="O15" s="431" t="s">
        <v>82</v>
      </c>
      <c r="P15" s="431"/>
      <c r="Q15" s="431"/>
      <c r="R15" s="431"/>
      <c r="S15" s="431"/>
    </row>
    <row r="16" spans="1:29" ht="13.8" customHeight="1" x14ac:dyDescent="0.3">
      <c r="C16" s="329" t="s">
        <v>233</v>
      </c>
      <c r="D16" s="365">
        <f>Funding!$H$15</f>
        <v>28.381699175824174</v>
      </c>
      <c r="E16" s="274"/>
      <c r="F16" s="340" t="s">
        <v>253</v>
      </c>
      <c r="G16" s="428">
        <f>Drivers!$K$9</f>
        <v>25</v>
      </c>
      <c r="H16" s="428"/>
      <c r="I16" s="219">
        <f>G16/SUM(G$15:G$15)</f>
        <v>2.7094963783817719E-2</v>
      </c>
      <c r="J16" s="220">
        <f>Drivers!$M$9</f>
        <v>7.1999999999999995E-2</v>
      </c>
      <c r="K16" s="220"/>
      <c r="L16" s="263">
        <f>J16*I16</f>
        <v>1.9508373924348756E-3</v>
      </c>
      <c r="M16" s="220"/>
      <c r="O16" s="418"/>
      <c r="P16" s="418"/>
      <c r="Q16" s="418"/>
      <c r="R16" s="418"/>
      <c r="S16" s="418"/>
    </row>
    <row r="17" spans="2:19" ht="13.8" customHeight="1" x14ac:dyDescent="0.3">
      <c r="C17" s="327" t="s">
        <v>239</v>
      </c>
      <c r="D17" s="365">
        <f>IF(Drivers!$P$28&lt;Drivers!$P$20,Drivers!$P$27*(1-Drivers!$P$28/Drivers!$P$20),0)</f>
        <v>4.5771821060612696</v>
      </c>
      <c r="E17" s="274"/>
      <c r="F17" s="341" t="s">
        <v>254</v>
      </c>
      <c r="G17" s="429">
        <f>Drivers!$K$10</f>
        <v>75</v>
      </c>
      <c r="H17" s="429"/>
      <c r="I17" s="215">
        <f>G17/SUM(G$15:G$15)</f>
        <v>8.1284891351453156E-2</v>
      </c>
      <c r="J17" s="216">
        <f>Drivers!$M$10</f>
        <v>9.5000000000000001E-2</v>
      </c>
      <c r="K17" s="216"/>
      <c r="L17" s="264">
        <f>J17*I17</f>
        <v>7.7220646783880496E-3</v>
      </c>
      <c r="M17" s="216"/>
      <c r="O17" s="176" t="s">
        <v>155</v>
      </c>
      <c r="P17" s="177" t="s">
        <v>143</v>
      </c>
      <c r="Q17" s="178" t="s">
        <v>78</v>
      </c>
      <c r="R17" s="178" t="s">
        <v>38</v>
      </c>
      <c r="S17" s="190"/>
    </row>
    <row r="18" spans="2:19" ht="13.8" customHeight="1" x14ac:dyDescent="0.3">
      <c r="C18" s="326" t="s">
        <v>240</v>
      </c>
      <c r="D18" s="366">
        <f>-IF(Drivers!$H$15&lt;Drivers!$P$20,Drivers!$P$26*(1-Drivers!$H$15/Drivers!$P$20),0)</f>
        <v>-6.186619466346059</v>
      </c>
      <c r="E18" s="274"/>
      <c r="F18" s="350" t="s">
        <v>255</v>
      </c>
      <c r="G18" s="430">
        <f>Drivers!$K$11</f>
        <v>100</v>
      </c>
      <c r="H18" s="430"/>
      <c r="I18" s="351">
        <f>G18/SUM(G$15:G$15)</f>
        <v>0.10837985513527087</v>
      </c>
      <c r="J18" s="352">
        <f>Drivers!$M$11</f>
        <v>7.0000000000000007E-2</v>
      </c>
      <c r="K18" s="352"/>
      <c r="L18" s="353">
        <f>J18*I18</f>
        <v>7.5865898594689616E-3</v>
      </c>
      <c r="M18" s="352"/>
      <c r="O18" s="179" t="s">
        <v>162</v>
      </c>
      <c r="P18" s="191"/>
      <c r="Q18" s="95"/>
      <c r="R18" s="95"/>
      <c r="S18" s="180"/>
    </row>
    <row r="19" spans="2:19" ht="13.8" customHeight="1" x14ac:dyDescent="0.3">
      <c r="B19" s="217"/>
      <c r="C19" s="328" t="s">
        <v>234</v>
      </c>
      <c r="D19" s="367">
        <f>SUM(D16:D18)</f>
        <v>26.772261815539387</v>
      </c>
      <c r="E19" s="274"/>
      <c r="F19" s="60"/>
      <c r="J19" s="130"/>
      <c r="K19" s="130"/>
      <c r="L19" s="354">
        <f>SUM(L15:L18)</f>
        <v>0.10325949193029188</v>
      </c>
      <c r="M19" s="349"/>
      <c r="O19" s="184" t="s">
        <v>156</v>
      </c>
      <c r="P19" s="94" t="s">
        <v>72</v>
      </c>
      <c r="Q19" s="95">
        <f>Funding!$H$14</f>
        <v>1118.1152777777777</v>
      </c>
      <c r="R19" s="95">
        <f>Funding!$R$16</f>
        <v>1145.844857328123</v>
      </c>
      <c r="S19" s="181"/>
    </row>
    <row r="20" spans="2:19" ht="13.8" customHeight="1" x14ac:dyDescent="0.3">
      <c r="C20" s="324" t="s">
        <v>226</v>
      </c>
      <c r="D20" s="368">
        <f>SUM(D13,D19)</f>
        <v>1344.8875395933171</v>
      </c>
      <c r="E20" s="274"/>
      <c r="G20" s="60"/>
      <c r="H20" s="60"/>
      <c r="O20" s="182" t="s">
        <v>157</v>
      </c>
      <c r="P20" s="96" t="s">
        <v>72</v>
      </c>
      <c r="Q20" s="97">
        <f>Funding!$H$16</f>
        <v>1146.4969769536019</v>
      </c>
      <c r="R20" s="97">
        <f>Valuation!$F$11</f>
        <v>859.06735706795018</v>
      </c>
      <c r="S20" s="183"/>
    </row>
    <row r="21" spans="2:19" ht="13.8" customHeight="1" x14ac:dyDescent="0.3">
      <c r="O21" s="179" t="s">
        <v>170</v>
      </c>
      <c r="P21" s="94"/>
      <c r="Q21" s="95"/>
      <c r="R21" s="95"/>
      <c r="S21" s="180"/>
    </row>
    <row r="22" spans="2:19" ht="13.8" customHeight="1" x14ac:dyDescent="0.3">
      <c r="O22" s="184" t="s">
        <v>211</v>
      </c>
      <c r="P22" s="94" t="s">
        <v>72</v>
      </c>
      <c r="Q22" s="95">
        <f>Factors!$D$13</f>
        <v>1318.1152777777777</v>
      </c>
      <c r="R22" s="95">
        <f>Valuation!$I$11</f>
        <v>922.68069444444427</v>
      </c>
      <c r="S22" s="181"/>
    </row>
    <row r="23" spans="2:19" ht="13.8" customHeight="1" x14ac:dyDescent="0.3">
      <c r="O23" s="182" t="s">
        <v>212</v>
      </c>
      <c r="P23" s="96" t="s">
        <v>72</v>
      </c>
      <c r="Q23" s="97">
        <f>Factors!$D$20</f>
        <v>1344.8875395933171</v>
      </c>
      <c r="R23" s="97">
        <f>Valuation!$I$24</f>
        <v>863.42127771532193</v>
      </c>
      <c r="S23" s="183"/>
    </row>
    <row r="24" spans="2:19" ht="13.8" customHeight="1" x14ac:dyDescent="0.3">
      <c r="O24" s="179" t="s">
        <v>171</v>
      </c>
      <c r="P24" s="94"/>
      <c r="Q24" s="98"/>
      <c r="R24" s="95"/>
      <c r="S24" s="180"/>
    </row>
    <row r="25" spans="2:19" ht="13.8" customHeight="1" x14ac:dyDescent="0.3">
      <c r="O25" s="184" t="s">
        <v>158</v>
      </c>
      <c r="P25" s="94" t="s">
        <v>71</v>
      </c>
      <c r="Q25" s="98"/>
      <c r="R25" s="95">
        <f>IFERROR(Valuation!$L$13,"")</f>
        <v>3137.7551020408164</v>
      </c>
      <c r="S25" s="181"/>
    </row>
    <row r="26" spans="2:19" ht="13.8" customHeight="1" x14ac:dyDescent="0.3">
      <c r="O26" s="182" t="s">
        <v>159</v>
      </c>
      <c r="P26" s="96" t="s">
        <v>72</v>
      </c>
      <c r="Q26" s="99"/>
      <c r="R26" s="97">
        <f>IFERROR(Valuation!$L$24,"")</f>
        <v>2843.3350772357735</v>
      </c>
      <c r="S26" s="183"/>
    </row>
    <row r="27" spans="2:19" ht="13.8" customHeight="1" x14ac:dyDescent="0.3">
      <c r="O27" s="179" t="s">
        <v>172</v>
      </c>
      <c r="P27" s="94"/>
      <c r="Q27" s="98"/>
      <c r="R27" s="95"/>
      <c r="S27" s="180"/>
    </row>
    <row r="28" spans="2:19" ht="13.8" customHeight="1" x14ac:dyDescent="0.3">
      <c r="O28" s="184" t="s">
        <v>160</v>
      </c>
      <c r="P28" s="94" t="s">
        <v>71</v>
      </c>
      <c r="Q28" s="98"/>
      <c r="R28" s="95">
        <f>IFERROR(Valuation!$O$13,"")</f>
        <v>699.2975005974755</v>
      </c>
      <c r="S28" s="181"/>
    </row>
    <row r="29" spans="2:19" ht="13.8" customHeight="1" x14ac:dyDescent="0.3">
      <c r="O29" s="185" t="s">
        <v>161</v>
      </c>
      <c r="P29" s="186" t="s">
        <v>72</v>
      </c>
      <c r="Q29" s="187"/>
      <c r="R29" s="188">
        <f>IFERROR(Valuation!$O$27,"")</f>
        <v>490.96686697103326</v>
      </c>
      <c r="S29" s="189"/>
    </row>
  </sheetData>
  <sheetProtection algorithmName="SHA-512" hashValue="PpGPftvrqeGDo8yLwsICc2KjHpDxnGql1lkFyhr3GvUPomP5M3aHHWEIhOOL9WVuP2aIMVApawlqv1BYQJ28og==" saltValue="cRKTDrC20NIjv8rtBpbfPA==" spinCount="100000" sheet="1" objects="1" scenarios="1" selectLockedCells="1" selectUnlockedCells="1"/>
  <mergeCells count="9">
    <mergeCell ref="C5:D5"/>
    <mergeCell ref="G16:H16"/>
    <mergeCell ref="G17:H17"/>
    <mergeCell ref="G18:H18"/>
    <mergeCell ref="O15:S16"/>
    <mergeCell ref="O5:S6"/>
    <mergeCell ref="F5:L5"/>
    <mergeCell ref="G14:H14"/>
    <mergeCell ref="G15:H15"/>
  </mergeCells>
  <printOptions horizontalCentered="1"/>
  <pageMargins left="0.5" right="0.5" top="0.75" bottom="0.75" header="0.3" footer="0.3"/>
  <pageSetup scale="72" orientation="landscape" r:id="rId1"/>
  <headerFooter scaleWithDoc="0" alignWithMargins="0">
    <oddFooter>&amp;L&amp;10Valuation, 1 of 2&amp;R&amp;10Updated &amp;D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FE13-9841-432E-B18C-4B5873256BCF}">
  <sheetPr>
    <tabColor theme="8" tint="0.79998168889431442"/>
    <pageSetUpPr fitToPage="1"/>
  </sheetPr>
  <dimension ref="A1:AC53"/>
  <sheetViews>
    <sheetView showGridLines="0" showRowColHeaders="0" zoomScaleNormal="100" workbookViewId="0">
      <selection sqref="A1:XFD1048576"/>
    </sheetView>
  </sheetViews>
  <sheetFormatPr defaultColWidth="9.109375" defaultRowHeight="14.4" x14ac:dyDescent="0.3"/>
  <cols>
    <col min="1" max="1" width="3.21875" style="20" bestFit="1" customWidth="1"/>
    <col min="2" max="2" width="4.77734375" style="20" customWidth="1"/>
    <col min="3" max="3" width="10.6640625" style="20" customWidth="1"/>
    <col min="4" max="4" width="2.77734375" style="20" customWidth="1"/>
    <col min="5" max="5" width="14.88671875" style="273" bestFit="1" customWidth="1"/>
    <col min="6" max="6" width="9" style="273" customWidth="1"/>
    <col min="7" max="7" width="6.6640625" style="273" customWidth="1"/>
    <col min="8" max="8" width="16.44140625" style="273" bestFit="1" customWidth="1"/>
    <col min="9" max="9" width="8.5546875" style="273" customWidth="1"/>
    <col min="10" max="10" width="6.6640625" style="273" customWidth="1"/>
    <col min="11" max="11" width="15.5546875" style="273" bestFit="1" customWidth="1"/>
    <col min="12" max="12" width="9" style="253" customWidth="1"/>
    <col min="13" max="13" width="6.6640625" style="273" customWidth="1"/>
    <col min="14" max="14" width="20.44140625" style="61" bestFit="1" customWidth="1"/>
    <col min="15" max="15" width="9" style="20" customWidth="1"/>
    <col min="16" max="20" width="8.5546875" style="20" customWidth="1"/>
    <col min="21" max="21" width="11.109375" style="273" customWidth="1"/>
    <col min="22" max="16384" width="9.109375" style="20"/>
  </cols>
  <sheetData>
    <row r="1" spans="1:29" s="6" customFormat="1" ht="10.199999999999999" x14ac:dyDescent="0.2">
      <c r="A1" s="49" t="s">
        <v>7</v>
      </c>
      <c r="B1" s="5"/>
    </row>
    <row r="2" spans="1:29" s="49" customFormat="1" ht="13.8" customHeight="1" x14ac:dyDescent="0.2">
      <c r="A2" s="7"/>
      <c r="B2" s="7"/>
      <c r="C2" s="4"/>
      <c r="D2" s="4"/>
      <c r="E2" s="2"/>
      <c r="F2" s="2"/>
      <c r="G2" s="2"/>
      <c r="H2" s="2"/>
      <c r="I2" s="2"/>
      <c r="J2" s="2"/>
      <c r="K2" s="2"/>
      <c r="L2" s="65"/>
      <c r="N2" s="65"/>
      <c r="O2" s="2"/>
      <c r="P2" s="2"/>
      <c r="Q2" s="2"/>
      <c r="R2" s="2"/>
      <c r="S2" s="2"/>
      <c r="T2" s="2"/>
    </row>
    <row r="3" spans="1:29" s="2" customFormat="1" ht="31.8" customHeight="1" x14ac:dyDescent="0.45">
      <c r="A3" s="7"/>
      <c r="B3" s="7"/>
      <c r="C3" s="416" t="s">
        <v>243</v>
      </c>
      <c r="D3" s="416"/>
      <c r="E3" s="7"/>
      <c r="Q3" s="7"/>
      <c r="S3" s="82"/>
      <c r="T3" s="82"/>
      <c r="U3" s="82"/>
    </row>
    <row r="4" spans="1:29" s="55" customFormat="1" ht="7.8" customHeight="1" x14ac:dyDescent="0.3">
      <c r="A4" s="78"/>
      <c r="B4" s="78"/>
      <c r="G4" s="235"/>
      <c r="L4" s="80"/>
      <c r="S4" s="236"/>
      <c r="U4" s="80"/>
    </row>
    <row r="5" spans="1:29" s="22" customFormat="1" ht="16.8" x14ac:dyDescent="0.3">
      <c r="A5" s="78"/>
      <c r="B5" s="78"/>
      <c r="C5" s="437" t="s">
        <v>219</v>
      </c>
      <c r="D5" s="321"/>
      <c r="E5" s="427" t="s">
        <v>60</v>
      </c>
      <c r="F5" s="427"/>
      <c r="G5" s="297"/>
      <c r="H5" s="427" t="s">
        <v>216</v>
      </c>
      <c r="I5" s="427"/>
      <c r="J5" s="224"/>
      <c r="K5" s="427" t="s">
        <v>217</v>
      </c>
      <c r="L5" s="427"/>
      <c r="N5" s="427" t="s">
        <v>214</v>
      </c>
      <c r="O5" s="427"/>
      <c r="P5" s="427"/>
      <c r="Q5" s="427"/>
      <c r="R5" s="427"/>
      <c r="S5" s="427"/>
      <c r="T5" s="427"/>
      <c r="U5" s="55"/>
    </row>
    <row r="6" spans="1:29" s="49" customFormat="1" ht="3.6" customHeight="1" x14ac:dyDescent="0.2">
      <c r="C6" s="437"/>
      <c r="G6" s="282"/>
      <c r="H6" s="282"/>
      <c r="J6" s="52"/>
      <c r="K6" s="52"/>
      <c r="L6" s="52"/>
      <c r="M6" s="52"/>
      <c r="O6" s="298"/>
      <c r="P6" s="22"/>
      <c r="Q6" s="22"/>
      <c r="R6" s="22"/>
      <c r="S6" s="22"/>
      <c r="T6" s="59"/>
      <c r="U6" s="59"/>
      <c r="V6" s="59"/>
      <c r="W6" s="59"/>
      <c r="X6" s="59"/>
      <c r="Y6" s="20"/>
      <c r="Z6" s="59"/>
      <c r="AA6" s="59"/>
      <c r="AB6" s="59"/>
      <c r="AC6" s="59"/>
    </row>
    <row r="7" spans="1:29" ht="15" customHeight="1" x14ac:dyDescent="0.3">
      <c r="C7" s="295" t="s">
        <v>220</v>
      </c>
      <c r="D7" s="319"/>
      <c r="E7" s="28" t="s">
        <v>231</v>
      </c>
      <c r="F7" s="28"/>
      <c r="H7" s="28" t="s">
        <v>228</v>
      </c>
      <c r="I7" s="28"/>
      <c r="K7" s="28" t="s">
        <v>224</v>
      </c>
      <c r="L7" s="28"/>
      <c r="N7" s="320" t="s">
        <v>222</v>
      </c>
      <c r="O7" s="444">
        <v>1</v>
      </c>
      <c r="P7" s="444">
        <v>2</v>
      </c>
      <c r="Q7" s="444">
        <v>3</v>
      </c>
      <c r="R7" s="444">
        <v>4</v>
      </c>
      <c r="S7" s="444">
        <v>5</v>
      </c>
      <c r="T7" s="444" t="s">
        <v>2</v>
      </c>
      <c r="U7" s="230"/>
    </row>
    <row r="8" spans="1:29" ht="3.6" customHeight="1" x14ac:dyDescent="0.3">
      <c r="C8" s="435" t="s">
        <v>221</v>
      </c>
      <c r="D8" s="299"/>
      <c r="E8" s="31"/>
      <c r="F8" s="31"/>
      <c r="H8" s="31"/>
      <c r="I8" s="31"/>
      <c r="K8" s="31"/>
      <c r="L8" s="31"/>
      <c r="N8" s="315"/>
      <c r="O8" s="444"/>
      <c r="P8" s="444"/>
      <c r="Q8" s="444"/>
      <c r="R8" s="444"/>
      <c r="S8" s="444"/>
      <c r="T8" s="444"/>
      <c r="U8" s="230"/>
    </row>
    <row r="9" spans="1:29" x14ac:dyDescent="0.3">
      <c r="C9" s="435"/>
      <c r="D9" s="299"/>
      <c r="E9" s="309" t="s">
        <v>229</v>
      </c>
      <c r="F9" s="213">
        <f>Funding!$H$16</f>
        <v>1146.4969769536019</v>
      </c>
      <c r="H9" s="309" t="s">
        <v>42</v>
      </c>
      <c r="I9" s="213">
        <f>Factors!D13</f>
        <v>1318.1152777777777</v>
      </c>
      <c r="K9" s="308" t="s">
        <v>109</v>
      </c>
      <c r="L9" s="39">
        <f>SUM(Drivers!$P$9:$R$9)</f>
        <v>20500</v>
      </c>
      <c r="N9" s="300" t="s">
        <v>185</v>
      </c>
      <c r="O9" s="64">
        <f>Forecast!L17</f>
        <v>50.105517295597565</v>
      </c>
      <c r="P9" s="58">
        <f>Forecast!M17</f>
        <v>59.751497614104665</v>
      </c>
      <c r="Q9" s="58">
        <f>Forecast!N17</f>
        <v>72.109038476586193</v>
      </c>
      <c r="R9" s="58">
        <f>Forecast!O17</f>
        <v>85.623393792543538</v>
      </c>
      <c r="S9" s="58">
        <f>Forecast!P17</f>
        <v>100.35099349113625</v>
      </c>
      <c r="T9" s="58"/>
      <c r="U9" s="213"/>
    </row>
    <row r="10" spans="1:29" ht="13.8" customHeight="1" x14ac:dyDescent="0.3">
      <c r="D10" s="299"/>
      <c r="E10" s="312" t="s">
        <v>193</v>
      </c>
      <c r="F10" s="252">
        <f>Drivers!$P$19</f>
        <v>0.74929753356228534</v>
      </c>
      <c r="G10" s="27"/>
      <c r="H10" s="311" t="s">
        <v>193</v>
      </c>
      <c r="I10" s="246">
        <f>Drivers!$P$20</f>
        <v>0.7</v>
      </c>
      <c r="J10" s="27"/>
      <c r="K10" s="308" t="s">
        <v>203</v>
      </c>
      <c r="L10" s="247">
        <f>SUM(Drivers!$P$10:$R$10)</f>
        <v>2450</v>
      </c>
      <c r="N10" s="301" t="s">
        <v>129</v>
      </c>
      <c r="O10" s="64">
        <f>-Forecast!D14</f>
        <v>-25</v>
      </c>
      <c r="P10" s="64">
        <f>-Forecast!E14</f>
        <v>-26</v>
      </c>
      <c r="Q10" s="64">
        <f>-Forecast!F14</f>
        <v>-27.04</v>
      </c>
      <c r="R10" s="64">
        <f>-Forecast!G14</f>
        <v>-28.121600000000001</v>
      </c>
      <c r="S10" s="64">
        <f>-Forecast!H14</f>
        <v>-29.246464000000007</v>
      </c>
      <c r="T10" s="58"/>
      <c r="U10" s="213"/>
    </row>
    <row r="11" spans="1:29" ht="13.8" customHeight="1" x14ac:dyDescent="0.3">
      <c r="E11" s="303" t="s">
        <v>195</v>
      </c>
      <c r="F11" s="251">
        <f>F9*F10</f>
        <v>859.06735706795018</v>
      </c>
      <c r="G11" s="213"/>
      <c r="H11" s="303" t="s">
        <v>195</v>
      </c>
      <c r="I11" s="251">
        <f>Drivers!$P$20*Factors!$D$13</f>
        <v>922.68069444444427</v>
      </c>
      <c r="J11" s="213"/>
      <c r="K11" s="309"/>
      <c r="L11" s="248">
        <f>$L$9/$L$10</f>
        <v>8.3673469387755102</v>
      </c>
      <c r="N11" s="302" t="s">
        <v>131</v>
      </c>
      <c r="O11" s="64">
        <f>SUM(O9:O10)</f>
        <v>25.105517295597565</v>
      </c>
      <c r="P11" s="58">
        <f>SUM(P9:P10)</f>
        <v>33.751497614104665</v>
      </c>
      <c r="Q11" s="58">
        <f>SUM(Q9:Q10)</f>
        <v>45.069038476586194</v>
      </c>
      <c r="R11" s="58">
        <f>SUM(R9:R10)</f>
        <v>57.501793792543538</v>
      </c>
      <c r="S11" s="58">
        <f>SUM(S9:S10)</f>
        <v>71.104529491136248</v>
      </c>
      <c r="T11" s="394">
        <f>Drivers!$P$17</f>
        <v>0.02</v>
      </c>
      <c r="U11" s="213"/>
    </row>
    <row r="12" spans="1:29" ht="13.8" customHeight="1" x14ac:dyDescent="0.3">
      <c r="C12" s="213"/>
      <c r="D12" s="213"/>
      <c r="G12" s="213"/>
      <c r="H12" s="223"/>
      <c r="J12" s="213"/>
      <c r="K12" s="310" t="s">
        <v>201</v>
      </c>
      <c r="L12" s="198">
        <f>Forecast!$D$18</f>
        <v>375</v>
      </c>
      <c r="N12" s="396" t="str">
        <f>"Present Value @ "&amp;TEXT(Factors!L19,"0.0%")</f>
        <v>Present Value @ 10.3%</v>
      </c>
      <c r="O12" s="397">
        <f>O11/(1+Factors!$L$19) ^O7</f>
        <v>22.755768229713837</v>
      </c>
      <c r="P12" s="395">
        <f>P11/(1+Factors!$L$19) ^P7</f>
        <v>27.729223154405485</v>
      </c>
      <c r="Q12" s="395">
        <f>Q11/(1+Factors!$L$19) ^Q7</f>
        <v>33.561802309674952</v>
      </c>
      <c r="R12" s="395">
        <f>R11/(1+Factors!$L$19) ^R7</f>
        <v>38.812418224550584</v>
      </c>
      <c r="S12" s="395">
        <f>S11/(1+Factors!$L$19) ^S7</f>
        <v>43.501967937406853</v>
      </c>
      <c r="T12" s="395">
        <f>(S11*(1+$T$11)/(Factors!$L$19-$T$11))  /  ((1+Factors!$L$19)^$S$7)</f>
        <v>532.93632074172376</v>
      </c>
      <c r="U12" s="213"/>
    </row>
    <row r="13" spans="1:29" ht="13.8" customHeight="1" x14ac:dyDescent="0.3">
      <c r="B13" s="217"/>
      <c r="C13" s="213"/>
      <c r="D13" s="213"/>
      <c r="E13" s="129"/>
      <c r="F13" s="274"/>
      <c r="G13" s="213"/>
      <c r="H13" s="436" t="s">
        <v>227</v>
      </c>
      <c r="J13" s="129"/>
      <c r="K13" s="303" t="s">
        <v>199</v>
      </c>
      <c r="L13" s="332">
        <f>$L$9/$L$10*Forecast!$D$18</f>
        <v>3137.7551020408164</v>
      </c>
      <c r="N13" s="303" t="s">
        <v>194</v>
      </c>
      <c r="O13" s="250">
        <f>SUM(O12:T12)</f>
        <v>699.2975005974755</v>
      </c>
      <c r="P13" s="28"/>
      <c r="Q13" s="28"/>
      <c r="R13" s="28"/>
      <c r="S13" s="28"/>
      <c r="T13" s="213"/>
      <c r="U13" s="213"/>
    </row>
    <row r="14" spans="1:29" ht="7.2" customHeight="1" x14ac:dyDescent="0.3">
      <c r="B14" s="217"/>
      <c r="C14" s="213"/>
      <c r="D14" s="213"/>
      <c r="E14" s="129"/>
      <c r="F14" s="274"/>
      <c r="G14" s="213"/>
      <c r="H14" s="436"/>
      <c r="J14" s="129"/>
      <c r="K14" s="303"/>
      <c r="L14" s="257"/>
      <c r="N14" s="303"/>
      <c r="O14" s="250"/>
      <c r="P14" s="28"/>
      <c r="Q14" s="28"/>
      <c r="R14" s="28"/>
      <c r="S14" s="28"/>
      <c r="T14" s="213"/>
      <c r="U14" s="213"/>
    </row>
    <row r="15" spans="1:29" ht="3.6" customHeight="1" x14ac:dyDescent="0.3">
      <c r="E15" s="129"/>
      <c r="F15" s="274"/>
      <c r="G15" s="274"/>
      <c r="H15" s="20"/>
      <c r="I15" s="20"/>
      <c r="J15" s="129"/>
      <c r="K15" s="20"/>
      <c r="L15" s="20"/>
    </row>
    <row r="16" spans="1:29" ht="7.2" customHeight="1" x14ac:dyDescent="0.3">
      <c r="E16" s="129"/>
      <c r="F16" s="274"/>
      <c r="G16" s="274"/>
      <c r="H16" s="438" t="s">
        <v>226</v>
      </c>
      <c r="I16" s="439">
        <f>Factors!D20</f>
        <v>1344.8875395933171</v>
      </c>
      <c r="J16" s="129"/>
      <c r="K16" s="20"/>
      <c r="L16" s="20"/>
      <c r="N16" s="20"/>
    </row>
    <row r="17" spans="1:23" ht="6.6" customHeight="1" x14ac:dyDescent="0.3">
      <c r="B17" s="217"/>
      <c r="C17" s="213"/>
      <c r="D17" s="213"/>
      <c r="G17" s="274"/>
      <c r="H17" s="438"/>
      <c r="I17" s="439"/>
      <c r="J17" s="20"/>
      <c r="K17" s="443" t="s">
        <v>225</v>
      </c>
      <c r="N17" s="442" t="s">
        <v>223</v>
      </c>
      <c r="O17" s="233"/>
      <c r="P17" s="213"/>
      <c r="Q17" s="213"/>
      <c r="R17" s="213"/>
      <c r="S17" s="213"/>
      <c r="T17" s="213"/>
      <c r="U17" s="213"/>
    </row>
    <row r="18" spans="1:23" ht="7.2" customHeight="1" x14ac:dyDescent="0.3">
      <c r="B18" s="217"/>
      <c r="C18" s="213"/>
      <c r="D18" s="213"/>
      <c r="G18" s="274"/>
      <c r="H18" s="440" t="s">
        <v>193</v>
      </c>
      <c r="I18" s="441">
        <f>Drivers!$P$20</f>
        <v>0.7</v>
      </c>
      <c r="J18" s="20"/>
      <c r="K18" s="443"/>
      <c r="N18" s="442"/>
      <c r="O18" s="233"/>
      <c r="P18" s="213"/>
      <c r="Q18" s="213"/>
      <c r="R18" s="213"/>
      <c r="S18" s="213"/>
      <c r="T18" s="213"/>
      <c r="U18" s="213"/>
    </row>
    <row r="19" spans="1:23" s="59" customFormat="1" ht="6.6" customHeight="1" x14ac:dyDescent="0.3">
      <c r="A19" s="217"/>
      <c r="B19" s="77"/>
      <c r="C19" s="20"/>
      <c r="D19" s="20"/>
      <c r="G19" s="273"/>
      <c r="H19" s="440"/>
      <c r="I19" s="441"/>
      <c r="K19" s="443"/>
      <c r="L19" s="253"/>
      <c r="M19" s="273"/>
      <c r="N19" s="442"/>
      <c r="P19" s="213"/>
      <c r="Q19" s="20"/>
    </row>
    <row r="20" spans="1:23" s="59" customFormat="1" ht="13.8" customHeight="1" x14ac:dyDescent="0.3">
      <c r="A20" s="217"/>
      <c r="B20" s="77"/>
      <c r="C20" s="20"/>
      <c r="D20" s="20"/>
      <c r="G20" s="273"/>
      <c r="H20" s="309" t="s">
        <v>196</v>
      </c>
      <c r="I20" s="316">
        <f>I16*I18</f>
        <v>941.42127771532193</v>
      </c>
      <c r="K20" s="308" t="s">
        <v>110</v>
      </c>
      <c r="L20" s="167">
        <f>SUM(Drivers!$P$11:$R$11)</f>
        <v>24370</v>
      </c>
      <c r="M20" s="273"/>
      <c r="N20" s="304" t="s">
        <v>108</v>
      </c>
      <c r="O20" s="233">
        <f>$O$13</f>
        <v>699.2975005974755</v>
      </c>
      <c r="P20" s="213"/>
      <c r="Q20" s="20"/>
    </row>
    <row r="21" spans="1:23" s="59" customFormat="1" ht="13.8" customHeight="1" x14ac:dyDescent="0.3">
      <c r="A21" s="77"/>
      <c r="B21" s="217"/>
      <c r="C21" s="20"/>
      <c r="D21" s="20"/>
      <c r="G21" s="273"/>
      <c r="H21" s="301" t="s">
        <v>230</v>
      </c>
      <c r="I21" s="54"/>
      <c r="K21" s="308" t="s">
        <v>204</v>
      </c>
      <c r="L21" s="167">
        <f>SUM(Drivers!$P$12:$R$12)</f>
        <v>1845</v>
      </c>
      <c r="N21" s="305" t="s">
        <v>189</v>
      </c>
      <c r="O21" s="237">
        <f>Drivers!K22</f>
        <v>60</v>
      </c>
      <c r="Q21" s="20"/>
      <c r="R21" s="213"/>
      <c r="S21" s="213"/>
      <c r="T21" s="213"/>
    </row>
    <row r="22" spans="1:23" s="59" customFormat="1" ht="13.8" customHeight="1" x14ac:dyDescent="0.3">
      <c r="A22" s="77"/>
      <c r="B22" s="217"/>
      <c r="H22" s="313" t="s">
        <v>197</v>
      </c>
      <c r="I22" s="317">
        <f>IF(Drivers!$P$20&lt;Drivers!$P$19*Drivers!$F$24,-(SUM(Funding!$Q$9:$Q$10)*Drivers!$F$24),0)</f>
        <v>-45.000000000000007</v>
      </c>
      <c r="K22" s="309"/>
      <c r="L22" s="254">
        <f>$L$20/$L$21</f>
        <v>13.208672086720867</v>
      </c>
      <c r="N22" s="306" t="s">
        <v>190</v>
      </c>
      <c r="O22" s="234">
        <f>-SUM(Drivers!$K$9:$K$11)</f>
        <v>-200</v>
      </c>
      <c r="Q22" s="20"/>
      <c r="R22" s="60"/>
      <c r="S22" s="60"/>
      <c r="T22" s="60"/>
    </row>
    <row r="23" spans="1:23" s="59" customFormat="1" ht="13.8" customHeight="1" x14ac:dyDescent="0.3">
      <c r="A23" s="77"/>
      <c r="B23" s="217"/>
      <c r="H23" s="314" t="s">
        <v>198</v>
      </c>
      <c r="I23" s="318">
        <f>IF(Drivers!$P$20&lt;Drivers!$P$19*Drivers!$E$24,-(Funding!$P$9*Drivers!$E$24),0)</f>
        <v>-33</v>
      </c>
      <c r="K23" s="310" t="s">
        <v>202</v>
      </c>
      <c r="L23" s="255">
        <f>Forecast!$D$19</f>
        <v>215.2627500000001</v>
      </c>
      <c r="N23" s="307" t="s">
        <v>186</v>
      </c>
      <c r="O23" s="238"/>
      <c r="Q23" s="20"/>
      <c r="R23" s="28"/>
      <c r="S23" s="28"/>
      <c r="T23" s="213"/>
    </row>
    <row r="24" spans="1:23" s="59" customFormat="1" ht="13.8" customHeight="1" x14ac:dyDescent="0.3">
      <c r="A24" s="77"/>
      <c r="B24" s="217"/>
      <c r="H24" s="303" t="s">
        <v>195</v>
      </c>
      <c r="I24" s="331">
        <f>SUM(I20:I23)</f>
        <v>863.42127771532193</v>
      </c>
      <c r="K24" s="303" t="s">
        <v>195</v>
      </c>
      <c r="L24" s="331">
        <f>$L$20/$L$21*Forecast!$D$19</f>
        <v>2843.3350772357735</v>
      </c>
      <c r="N24" s="330" t="s">
        <v>187</v>
      </c>
      <c r="O24" s="64">
        <f>IF(Drivers!$P$20&lt;Drivers!$P$19*Drivers!$F$24,-(SUM(Funding!$Q$9:$Q$10)*Drivers!$F$24),0)</f>
        <v>-45.000000000000007</v>
      </c>
      <c r="Q24" s="20"/>
      <c r="R24" s="28"/>
      <c r="S24" s="28"/>
      <c r="T24" s="213"/>
      <c r="W24" s="22"/>
    </row>
    <row r="25" spans="1:23" s="59" customFormat="1" ht="13.8" customHeight="1" x14ac:dyDescent="0.3">
      <c r="A25" s="77"/>
      <c r="B25" s="217"/>
      <c r="N25" s="330" t="s">
        <v>188</v>
      </c>
      <c r="O25" s="233">
        <f>IF(Drivers!$P$20&lt;Drivers!$P$19*Drivers!$E$24,-(Funding!$P$9*Drivers!$E$24),0)</f>
        <v>-33</v>
      </c>
      <c r="Q25" s="20"/>
      <c r="R25" s="28"/>
      <c r="S25" s="28"/>
      <c r="T25" s="213"/>
      <c r="V25" s="20"/>
      <c r="W25" s="20"/>
    </row>
    <row r="26" spans="1:23" ht="13.8" customHeight="1" x14ac:dyDescent="0.3">
      <c r="A26" s="77"/>
      <c r="B26" s="217"/>
      <c r="C26" s="59"/>
      <c r="D26" s="59"/>
      <c r="E26" s="59"/>
      <c r="F26" s="59"/>
      <c r="G26" s="59"/>
      <c r="J26" s="20"/>
      <c r="K26" s="20"/>
      <c r="L26" s="20"/>
      <c r="N26" s="398" t="s">
        <v>128</v>
      </c>
      <c r="O26" s="399">
        <f>Forecast!$L$14</f>
        <v>9.6693663735577573</v>
      </c>
      <c r="R26" s="28"/>
      <c r="S26" s="28"/>
      <c r="T26" s="213"/>
      <c r="U26" s="20"/>
    </row>
    <row r="27" spans="1:23" ht="13.8" customHeight="1" x14ac:dyDescent="0.3">
      <c r="A27" s="217"/>
      <c r="B27" s="59"/>
      <c r="D27" s="59"/>
      <c r="E27" s="59"/>
      <c r="F27" s="59"/>
      <c r="G27" s="59"/>
      <c r="J27" s="20"/>
      <c r="N27" s="303" t="s">
        <v>195</v>
      </c>
      <c r="O27" s="250">
        <f>SUM(O20:O26)</f>
        <v>490.96686697103326</v>
      </c>
      <c r="R27" s="28"/>
      <c r="S27" s="28"/>
      <c r="T27" s="213"/>
      <c r="U27" s="20"/>
    </row>
    <row r="28" spans="1:23" ht="13.8" customHeight="1" x14ac:dyDescent="0.3">
      <c r="H28" s="20"/>
      <c r="J28" s="20"/>
      <c r="N28" s="260"/>
      <c r="O28" s="261"/>
      <c r="R28" s="28"/>
      <c r="S28" s="28"/>
      <c r="T28" s="213"/>
      <c r="U28" s="20"/>
    </row>
    <row r="29" spans="1:23" ht="13.8" customHeight="1" x14ac:dyDescent="0.3">
      <c r="J29" s="20"/>
      <c r="R29" s="213"/>
      <c r="S29" s="213"/>
      <c r="T29" s="213"/>
      <c r="U29" s="20"/>
    </row>
    <row r="30" spans="1:23" ht="13.8" customHeight="1" x14ac:dyDescent="0.3">
      <c r="H30" s="20"/>
      <c r="I30" s="20"/>
      <c r="J30" s="20"/>
      <c r="R30" s="213"/>
      <c r="S30" s="213"/>
      <c r="T30" s="213"/>
      <c r="U30" s="20"/>
    </row>
    <row r="31" spans="1:23" ht="13.8" customHeight="1" x14ac:dyDescent="0.3">
      <c r="H31" s="213"/>
      <c r="I31" s="213"/>
      <c r="J31" s="20"/>
      <c r="K31" s="20"/>
      <c r="L31" s="20"/>
      <c r="R31" s="213"/>
      <c r="S31" s="213"/>
      <c r="T31" s="213"/>
      <c r="U31" s="20"/>
    </row>
    <row r="32" spans="1:23" ht="13.8" customHeight="1" x14ac:dyDescent="0.3">
      <c r="M32" s="59"/>
      <c r="N32" s="20"/>
      <c r="P32" s="28"/>
      <c r="R32" s="213"/>
      <c r="S32" s="213"/>
      <c r="T32" s="213"/>
      <c r="U32" s="20"/>
    </row>
    <row r="33" spans="3:23" ht="13.8" customHeight="1" x14ac:dyDescent="0.3">
      <c r="M33" s="59"/>
      <c r="N33" s="20"/>
      <c r="P33" s="28"/>
      <c r="R33" s="213"/>
      <c r="S33" s="213"/>
      <c r="T33" s="213"/>
      <c r="U33" s="20"/>
    </row>
    <row r="34" spans="3:23" ht="13.8" customHeight="1" x14ac:dyDescent="0.3">
      <c r="M34" s="59"/>
      <c r="N34" s="20"/>
      <c r="P34" s="28"/>
      <c r="Q34" s="213"/>
      <c r="R34" s="213"/>
      <c r="S34" s="213"/>
      <c r="T34" s="213"/>
      <c r="U34" s="20"/>
      <c r="V34" s="59"/>
      <c r="W34" s="59"/>
    </row>
    <row r="35" spans="3:23" x14ac:dyDescent="0.3">
      <c r="M35" s="59"/>
      <c r="N35" s="20"/>
      <c r="P35" s="28"/>
      <c r="V35" s="59"/>
      <c r="W35" s="59"/>
    </row>
    <row r="36" spans="3:23" x14ac:dyDescent="0.3">
      <c r="H36" s="20"/>
      <c r="I36" s="20"/>
      <c r="J36" s="59"/>
      <c r="N36" s="20"/>
      <c r="P36" s="28"/>
      <c r="V36" s="59"/>
      <c r="W36" s="59"/>
    </row>
    <row r="37" spans="3:23" x14ac:dyDescent="0.3">
      <c r="H37" s="20"/>
      <c r="I37" s="20"/>
      <c r="J37" s="59"/>
      <c r="N37" s="20"/>
      <c r="P37" s="28"/>
      <c r="U37" s="20"/>
      <c r="V37" s="59"/>
      <c r="W37" s="59"/>
    </row>
    <row r="38" spans="3:23" x14ac:dyDescent="0.3">
      <c r="H38" s="20"/>
      <c r="I38" s="20"/>
      <c r="J38" s="59"/>
      <c r="K38" s="20"/>
      <c r="L38" s="20"/>
      <c r="N38" s="20"/>
      <c r="P38" s="213"/>
      <c r="U38" s="20"/>
    </row>
    <row r="39" spans="3:23" x14ac:dyDescent="0.3">
      <c r="C39" s="59"/>
      <c r="D39" s="59"/>
      <c r="E39" s="59"/>
      <c r="F39" s="59"/>
      <c r="G39" s="59"/>
      <c r="J39" s="59"/>
      <c r="K39" s="20"/>
      <c r="L39" s="20"/>
      <c r="N39" s="20"/>
      <c r="P39" s="213"/>
      <c r="U39" s="20"/>
    </row>
    <row r="40" spans="3:23" x14ac:dyDescent="0.3">
      <c r="C40" s="59"/>
      <c r="D40" s="59"/>
      <c r="E40" s="59"/>
      <c r="F40" s="59"/>
      <c r="G40" s="59"/>
      <c r="J40" s="59"/>
      <c r="K40" s="20"/>
      <c r="L40" s="20"/>
      <c r="N40" s="20"/>
      <c r="P40" s="213"/>
    </row>
    <row r="41" spans="3:23" x14ac:dyDescent="0.3">
      <c r="C41" s="59"/>
      <c r="D41" s="59"/>
      <c r="E41" s="59"/>
      <c r="F41" s="59"/>
      <c r="G41" s="59"/>
      <c r="J41" s="59"/>
      <c r="N41" s="20"/>
    </row>
    <row r="42" spans="3:23" x14ac:dyDescent="0.3">
      <c r="C42" s="59"/>
      <c r="D42" s="59"/>
      <c r="E42" s="59"/>
      <c r="F42" s="59"/>
      <c r="G42" s="59"/>
    </row>
    <row r="43" spans="3:23" x14ac:dyDescent="0.3">
      <c r="C43" s="59"/>
      <c r="D43" s="59"/>
      <c r="E43" s="59"/>
      <c r="F43" s="59"/>
      <c r="G43" s="59"/>
      <c r="U43" s="213"/>
      <c r="V43" s="59"/>
    </row>
    <row r="44" spans="3:23" x14ac:dyDescent="0.3">
      <c r="C44" s="213"/>
      <c r="D44" s="213"/>
      <c r="E44" s="294"/>
      <c r="F44" s="274"/>
      <c r="G44" s="274"/>
      <c r="U44" s="60"/>
      <c r="V44" s="59"/>
    </row>
    <row r="45" spans="3:23" x14ac:dyDescent="0.3">
      <c r="U45" s="60"/>
      <c r="V45" s="59"/>
    </row>
    <row r="46" spans="3:23" x14ac:dyDescent="0.3">
      <c r="U46" s="60"/>
      <c r="V46" s="59"/>
    </row>
    <row r="47" spans="3:23" x14ac:dyDescent="0.3">
      <c r="U47" s="60"/>
      <c r="V47" s="59"/>
    </row>
    <row r="48" spans="3:23" x14ac:dyDescent="0.3">
      <c r="U48" s="60"/>
      <c r="V48" s="59"/>
    </row>
    <row r="49" spans="21:21" x14ac:dyDescent="0.3">
      <c r="U49" s="60"/>
    </row>
    <row r="50" spans="21:21" x14ac:dyDescent="0.3">
      <c r="U50" s="213"/>
    </row>
    <row r="51" spans="21:21" x14ac:dyDescent="0.3">
      <c r="U51" s="213"/>
    </row>
    <row r="52" spans="21:21" x14ac:dyDescent="0.3">
      <c r="U52" s="213"/>
    </row>
    <row r="53" spans="21:21" x14ac:dyDescent="0.3">
      <c r="U53" s="213"/>
    </row>
  </sheetData>
  <sheetProtection algorithmName="SHA-512" hashValue="aGPA7ePurLlWS6a9AEn2yFz4IbxabXXzrsSJ7NmONphlWG51bi55lPlkk4fVztuuOeOdv/OLPXcI6qjka2ulIw==" saltValue="GacNbj11h2znZloS59RzVA==" spinCount="100000" sheet="1" objects="1" scenarios="1" selectLockedCells="1" selectUnlockedCells="1"/>
  <mergeCells count="19">
    <mergeCell ref="N5:T5"/>
    <mergeCell ref="O7:O8"/>
    <mergeCell ref="P7:P8"/>
    <mergeCell ref="Q7:Q8"/>
    <mergeCell ref="R7:R8"/>
    <mergeCell ref="S7:S8"/>
    <mergeCell ref="T7:T8"/>
    <mergeCell ref="H16:H17"/>
    <mergeCell ref="I16:I17"/>
    <mergeCell ref="H18:H19"/>
    <mergeCell ref="I18:I19"/>
    <mergeCell ref="N17:N19"/>
    <mergeCell ref="K17:K19"/>
    <mergeCell ref="C8:C9"/>
    <mergeCell ref="K5:L5"/>
    <mergeCell ref="E5:F5"/>
    <mergeCell ref="H13:H14"/>
    <mergeCell ref="H5:I5"/>
    <mergeCell ref="C5:C6"/>
  </mergeCells>
  <phoneticPr fontId="10" type="noConversion"/>
  <printOptions horizontalCentered="1"/>
  <pageMargins left="0.5" right="0.5" top="0.75" bottom="0.75" header="0.3" footer="0.3"/>
  <pageSetup scale="72" orientation="landscape" r:id="rId1"/>
  <headerFooter scaleWithDoc="0" alignWithMargins="0">
    <oddFooter>&amp;L&amp;10Valuation, 2 of 2&amp;R&amp;10Updated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ℹ️ </vt:lpstr>
      <vt:lpstr>Approach</vt:lpstr>
      <vt:lpstr>Drivers</vt:lpstr>
      <vt:lpstr>Funding</vt:lpstr>
      <vt:lpstr>Forecast</vt:lpstr>
      <vt:lpstr>Factors</vt:lpstr>
      <vt:lpstr>Valuation</vt:lpstr>
      <vt:lpstr>Approach!Print_Area</vt:lpstr>
      <vt:lpstr>Drivers!Print_Area</vt:lpstr>
      <vt:lpstr>Factors!Print_Area</vt:lpstr>
      <vt:lpstr>Forecast!Print_Area</vt:lpstr>
      <vt:lpstr>Funding!Print_Area</vt:lpstr>
      <vt:lpstr>'ℹ️ '!Print_Area</vt:lpstr>
      <vt:lpstr>Valuation!Print_Area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2026-05-20T03:33:41Z</dcterms:created>
  <dcterms:modified xsi:type="dcterms:W3CDTF">2026-10-06T04:10:31Z</dcterms:modified>
</cp:coreProperties>
</file>