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AD4F634E-C1C3-4D2A-BD2D-2414E93301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cisionMaker" sheetId="6" r:id="rId1"/>
  </sheets>
  <definedNames>
    <definedName name="_xlnm.Print_Area" localSheetId="0">DecisionMaker!$C$3:$M$28,DecisionMaker!$BI$4:$BU$26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W42" i="6" l="1"/>
  <c r="EX42" i="6"/>
  <c r="EX35" i="6"/>
  <c r="FA31" i="6"/>
  <c r="EY31" i="6" l="1"/>
  <c r="EY32" i="6"/>
  <c r="EY33" i="6"/>
  <c r="EY34" i="6"/>
  <c r="EY35" i="6"/>
  <c r="EY36" i="6"/>
  <c r="EY37" i="6"/>
  <c r="EY38" i="6"/>
  <c r="EY39" i="6"/>
  <c r="EY40" i="6"/>
  <c r="EY41" i="6"/>
  <c r="EY42" i="6"/>
  <c r="EW31" i="6"/>
  <c r="EP32" i="6"/>
  <c r="ES41" i="6"/>
  <c r="EK31" i="6"/>
  <c r="EL31" i="6"/>
  <c r="EM31" i="6"/>
  <c r="EN31" i="6"/>
  <c r="EO31" i="6"/>
  <c r="EP31" i="6"/>
  <c r="EQ31" i="6"/>
  <c r="ER31" i="6"/>
  <c r="ES31" i="6"/>
  <c r="EK32" i="6"/>
  <c r="EL32" i="6"/>
  <c r="EM32" i="6"/>
  <c r="EN32" i="6"/>
  <c r="EO32" i="6"/>
  <c r="EQ32" i="6"/>
  <c r="ER32" i="6"/>
  <c r="ES32" i="6"/>
  <c r="EK33" i="6"/>
  <c r="EL33" i="6"/>
  <c r="EM33" i="6"/>
  <c r="EN33" i="6"/>
  <c r="EO33" i="6"/>
  <c r="EP33" i="6"/>
  <c r="EQ33" i="6"/>
  <c r="ER33" i="6"/>
  <c r="ES33" i="6"/>
  <c r="EK34" i="6"/>
  <c r="EL34" i="6"/>
  <c r="EM34" i="6"/>
  <c r="EN34" i="6"/>
  <c r="EO34" i="6"/>
  <c r="EP34" i="6"/>
  <c r="EQ34" i="6"/>
  <c r="ER34" i="6"/>
  <c r="ES34" i="6"/>
  <c r="EK35" i="6"/>
  <c r="EL35" i="6"/>
  <c r="EM35" i="6"/>
  <c r="EN35" i="6"/>
  <c r="EO35" i="6"/>
  <c r="EP35" i="6"/>
  <c r="EQ35" i="6"/>
  <c r="ER35" i="6"/>
  <c r="ES35" i="6"/>
  <c r="EK36" i="6"/>
  <c r="EL36" i="6"/>
  <c r="EM36" i="6"/>
  <c r="EN36" i="6"/>
  <c r="EO36" i="6"/>
  <c r="EP36" i="6"/>
  <c r="EQ36" i="6"/>
  <c r="ER36" i="6"/>
  <c r="ES36" i="6"/>
  <c r="EK37" i="6"/>
  <c r="EL37" i="6"/>
  <c r="EM37" i="6"/>
  <c r="EN37" i="6"/>
  <c r="EO37" i="6"/>
  <c r="EP37" i="6"/>
  <c r="EQ37" i="6"/>
  <c r="ER37" i="6"/>
  <c r="ES37" i="6"/>
  <c r="EK38" i="6"/>
  <c r="EL38" i="6"/>
  <c r="EM38" i="6"/>
  <c r="EN38" i="6"/>
  <c r="EO38" i="6"/>
  <c r="EP38" i="6"/>
  <c r="EQ38" i="6"/>
  <c r="ER38" i="6"/>
  <c r="ES38" i="6"/>
  <c r="EK39" i="6"/>
  <c r="EL39" i="6"/>
  <c r="EM39" i="6"/>
  <c r="EN39" i="6"/>
  <c r="EO39" i="6"/>
  <c r="EP39" i="6"/>
  <c r="EQ39" i="6"/>
  <c r="ER39" i="6"/>
  <c r="ES39" i="6"/>
  <c r="EK40" i="6"/>
  <c r="EL40" i="6"/>
  <c r="EM40" i="6"/>
  <c r="EN40" i="6"/>
  <c r="EO40" i="6"/>
  <c r="EP40" i="6"/>
  <c r="EQ40" i="6"/>
  <c r="ER40" i="6"/>
  <c r="ES40" i="6"/>
  <c r="EK41" i="6"/>
  <c r="EL41" i="6"/>
  <c r="EM41" i="6"/>
  <c r="EN41" i="6"/>
  <c r="EO41" i="6"/>
  <c r="EP41" i="6"/>
  <c r="EQ41" i="6"/>
  <c r="ER41" i="6"/>
  <c r="EK42" i="6"/>
  <c r="EL42" i="6"/>
  <c r="EM42" i="6"/>
  <c r="EN42" i="6"/>
  <c r="EO42" i="6"/>
  <c r="EP42" i="6"/>
  <c r="EQ42" i="6"/>
  <c r="ER42" i="6"/>
  <c r="ES42" i="6"/>
  <c r="EJ42" i="6"/>
  <c r="EJ41" i="6"/>
  <c r="EJ40" i="6"/>
  <c r="EJ39" i="6"/>
  <c r="EJ38" i="6"/>
  <c r="EJ37" i="6"/>
  <c r="EJ36" i="6"/>
  <c r="EJ35" i="6"/>
  <c r="EJ34" i="6"/>
  <c r="EJ33" i="6"/>
  <c r="EJ32" i="6"/>
  <c r="EJ31" i="6"/>
  <c r="FM31" i="6"/>
  <c r="FM39" i="6"/>
  <c r="FM40" i="6"/>
  <c r="FM32" i="6"/>
  <c r="FM33" i="6"/>
  <c r="FM34" i="6"/>
  <c r="FM35" i="6"/>
  <c r="FM36" i="6"/>
  <c r="FM37" i="6"/>
  <c r="FM38" i="6"/>
  <c r="FA32" i="6" l="1"/>
  <c r="FA33" i="6"/>
  <c r="FA34" i="6"/>
  <c r="FA35" i="6"/>
  <c r="FA36" i="6"/>
  <c r="FA37" i="6"/>
  <c r="FA38" i="6"/>
  <c r="FA39" i="6"/>
  <c r="FA40" i="6"/>
  <c r="FA41" i="6"/>
  <c r="FA42" i="6"/>
  <c r="EZ32" i="6"/>
  <c r="EZ33" i="6"/>
  <c r="EZ34" i="6"/>
  <c r="EZ35" i="6"/>
  <c r="EZ36" i="6"/>
  <c r="EZ37" i="6"/>
  <c r="EZ38" i="6"/>
  <c r="EZ39" i="6"/>
  <c r="EZ40" i="6"/>
  <c r="EZ41" i="6"/>
  <c r="EZ42" i="6"/>
  <c r="EZ31" i="6"/>
  <c r="EX32" i="6"/>
  <c r="EX33" i="6"/>
  <c r="EX34" i="6"/>
  <c r="EX36" i="6"/>
  <c r="EX37" i="6"/>
  <c r="EX38" i="6"/>
  <c r="EX39" i="6"/>
  <c r="EX40" i="6"/>
  <c r="EX41" i="6"/>
  <c r="EX31" i="6"/>
  <c r="EW32" i="6"/>
  <c r="EW33" i="6"/>
  <c r="EW34" i="6"/>
  <c r="EW35" i="6"/>
  <c r="EW36" i="6"/>
  <c r="EW37" i="6"/>
  <c r="EW38" i="6"/>
  <c r="EW39" i="6"/>
  <c r="EW40" i="6"/>
  <c r="EW41" i="6"/>
  <c r="ET31" i="6" l="1"/>
  <c r="ET35" i="6"/>
  <c r="ET39" i="6"/>
  <c r="ET36" i="6"/>
  <c r="ET40" i="6"/>
  <c r="ET33" i="6"/>
  <c r="ET37" i="6"/>
  <c r="ET41" i="6"/>
  <c r="ET32" i="6"/>
  <c r="ET34" i="6"/>
  <c r="ET38" i="6"/>
  <c r="ET42" i="6"/>
  <c r="EK30" i="6"/>
  <c r="FL32" i="6" s="1"/>
  <c r="EL30" i="6"/>
  <c r="FL33" i="6" s="1"/>
  <c r="EM30" i="6"/>
  <c r="FL34" i="6" s="1"/>
  <c r="EN30" i="6"/>
  <c r="FL35" i="6" s="1"/>
  <c r="EO30" i="6"/>
  <c r="FL36" i="6" s="1"/>
  <c r="EP30" i="6"/>
  <c r="FL37" i="6" s="1"/>
  <c r="EQ30" i="6"/>
  <c r="FL38" i="6" s="1"/>
  <c r="ER30" i="6"/>
  <c r="FL39" i="6" s="1"/>
  <c r="ES30" i="6"/>
  <c r="FL40" i="6" s="1"/>
  <c r="EJ30" i="6"/>
  <c r="FL31" i="6" s="1"/>
  <c r="EI42" i="6"/>
  <c r="EI41" i="6"/>
  <c r="EI40" i="6"/>
  <c r="EI39" i="6"/>
  <c r="EI38" i="6"/>
  <c r="EI37" i="6"/>
  <c r="EI36" i="6"/>
  <c r="EI35" i="6"/>
  <c r="EI34" i="6"/>
  <c r="EI33" i="6"/>
  <c r="EI32" i="6"/>
  <c r="EU31" i="6" l="1"/>
  <c r="EI31" i="6"/>
  <c r="EU38" i="6" l="1"/>
  <c r="EU39" i="6"/>
  <c r="EU35" i="6"/>
  <c r="EU37" i="6"/>
  <c r="EU34" i="6"/>
  <c r="EU36" i="6"/>
  <c r="EU42" i="6"/>
  <c r="EU33" i="6"/>
  <c r="EU40" i="6"/>
  <c r="EU41" i="6"/>
  <c r="EU32" i="6"/>
  <c r="FC42" i="6" l="1"/>
  <c r="BI4" i="6" s="1"/>
  <c r="FC31" i="6"/>
  <c r="FC35" i="6"/>
  <c r="FC36" i="6"/>
  <c r="FC37" i="6"/>
  <c r="FE37" i="6" s="1"/>
  <c r="FC38" i="6"/>
  <c r="FC39" i="6"/>
  <c r="FH39" i="6" s="1"/>
  <c r="FC32" i="6"/>
  <c r="FC40" i="6"/>
  <c r="FC33" i="6"/>
  <c r="FC41" i="6"/>
  <c r="FC34" i="6"/>
  <c r="FN31" i="6" l="1"/>
  <c r="FO31" i="6" s="1"/>
  <c r="BI10" i="6"/>
  <c r="BS7" i="6" s="1"/>
  <c r="FF42" i="6"/>
  <c r="FN40" i="6"/>
  <c r="FO40" i="6" s="1"/>
  <c r="FE42" i="6"/>
  <c r="FN33" i="6"/>
  <c r="FO33" i="6" s="1"/>
  <c r="FN39" i="6"/>
  <c r="FO39" i="6" s="1"/>
  <c r="FN32" i="6"/>
  <c r="FO32" i="6" s="1"/>
  <c r="FN34" i="6"/>
  <c r="FO34" i="6" s="1"/>
  <c r="FN38" i="6"/>
  <c r="FO38" i="6" s="1"/>
  <c r="FN35" i="6"/>
  <c r="FO35" i="6" s="1"/>
  <c r="FN37" i="6"/>
  <c r="FO37" i="6" s="1"/>
  <c r="FN36" i="6"/>
  <c r="FO36" i="6" s="1"/>
  <c r="FD32" i="6"/>
  <c r="FH32" i="6"/>
  <c r="FI32" i="6"/>
  <c r="FG32" i="6"/>
  <c r="FD39" i="6"/>
  <c r="FI39" i="6"/>
  <c r="FG39" i="6"/>
  <c r="FD38" i="6"/>
  <c r="FI38" i="6"/>
  <c r="FG38" i="6"/>
  <c r="FH38" i="6"/>
  <c r="FD40" i="6"/>
  <c r="FH40" i="6"/>
  <c r="FI40" i="6"/>
  <c r="FG40" i="6"/>
  <c r="FH42" i="6"/>
  <c r="FI42" i="6"/>
  <c r="FG42" i="6"/>
  <c r="FD37" i="6"/>
  <c r="FI37" i="6"/>
  <c r="FG37" i="6"/>
  <c r="FH37" i="6"/>
  <c r="FD34" i="6"/>
  <c r="FI34" i="6"/>
  <c r="FG34" i="6"/>
  <c r="FH34" i="6"/>
  <c r="FD36" i="6"/>
  <c r="FI36" i="6"/>
  <c r="FG36" i="6"/>
  <c r="FH36" i="6"/>
  <c r="FD41" i="6"/>
  <c r="FH41" i="6"/>
  <c r="FI41" i="6"/>
  <c r="FG41" i="6"/>
  <c r="FD35" i="6"/>
  <c r="FI35" i="6"/>
  <c r="FG35" i="6"/>
  <c r="FH35" i="6"/>
  <c r="FD33" i="6"/>
  <c r="FH33" i="6"/>
  <c r="FG33" i="6"/>
  <c r="FI33" i="6"/>
  <c r="FH31" i="6"/>
  <c r="FI31" i="6"/>
  <c r="FG31" i="6"/>
  <c r="FE31" i="6"/>
  <c r="FD31" i="6"/>
  <c r="FD42" i="6"/>
  <c r="FD43" i="6" s="1"/>
  <c r="FF31" i="6"/>
  <c r="FE33" i="6"/>
  <c r="FF33" i="6"/>
  <c r="FE39" i="6"/>
  <c r="FF39" i="6"/>
  <c r="FF32" i="6"/>
  <c r="FE32" i="6"/>
  <c r="FE38" i="6"/>
  <c r="FF38" i="6"/>
  <c r="FF37" i="6"/>
  <c r="FE36" i="6"/>
  <c r="FF36" i="6"/>
  <c r="FF40" i="6"/>
  <c r="FE40" i="6"/>
  <c r="FF34" i="6"/>
  <c r="FE34" i="6"/>
  <c r="FF41" i="6"/>
  <c r="FE41" i="6"/>
  <c r="FF35" i="6"/>
  <c r="FE35" i="6"/>
  <c r="BI15" i="6"/>
  <c r="BI20" i="6"/>
  <c r="BI14" i="6"/>
  <c r="BI12" i="6"/>
  <c r="BI16" i="6"/>
  <c r="BI18" i="6"/>
  <c r="BI13" i="6"/>
  <c r="BI19" i="6"/>
  <c r="BI11" i="6"/>
  <c r="BI17" i="6"/>
  <c r="BI21" i="6"/>
  <c r="FK34" i="6" l="1"/>
  <c r="FK39" i="6"/>
  <c r="FK33" i="6"/>
  <c r="FK36" i="6"/>
  <c r="FK37" i="6"/>
  <c r="FK40" i="6"/>
  <c r="FK32" i="6"/>
  <c r="FK35" i="6"/>
  <c r="FK38" i="6"/>
  <c r="FK31" i="6"/>
  <c r="BU13" i="6" l="1"/>
  <c r="BU17" i="6"/>
  <c r="BS13" i="6"/>
  <c r="BT13" i="6"/>
  <c r="BU11" i="6"/>
  <c r="BT10" i="6"/>
  <c r="BU16" i="6"/>
  <c r="BS17" i="6"/>
  <c r="BU15" i="6"/>
  <c r="BT12" i="6"/>
  <c r="BU19" i="6"/>
  <c r="BT15" i="6"/>
  <c r="BT17" i="6"/>
  <c r="BU14" i="6"/>
  <c r="BU18" i="6"/>
  <c r="BU12" i="6"/>
  <c r="BT16" i="6"/>
  <c r="BT19" i="6"/>
  <c r="BT18" i="6"/>
  <c r="BS11" i="6"/>
  <c r="BS18" i="6"/>
  <c r="BS19" i="6"/>
  <c r="BU10" i="6"/>
  <c r="BS12" i="6"/>
  <c r="BT14" i="6"/>
  <c r="BS14" i="6"/>
  <c r="BS16" i="6"/>
  <c r="BT11" i="6"/>
  <c r="BS15" i="6"/>
  <c r="BS1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52285F68-5F00-41DE-8456-9090E9E8751D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<sst xmlns="http://schemas.openxmlformats.org/spreadsheetml/2006/main" count="253" uniqueCount="48">
  <si>
    <t>Rank</t>
  </si>
  <si>
    <t>Score</t>
  </si>
  <si>
    <t>Option</t>
  </si>
  <si>
    <t>info</t>
  </si>
  <si>
    <t>Composite Score</t>
  </si>
  <si>
    <t>Importance</t>
  </si>
  <si>
    <t>Headers</t>
  </si>
  <si>
    <t>Rankorder</t>
  </si>
  <si>
    <t>Attribute</t>
  </si>
  <si>
    <t>Rating</t>
  </si>
  <si>
    <t>✮</t>
  </si>
  <si>
    <t>✮✮✮✮✮</t>
  </si>
  <si>
    <t>✮✮✮✮</t>
  </si>
  <si>
    <t>✮✮✮</t>
  </si>
  <si>
    <t>✮✮</t>
  </si>
  <si>
    <t>|</t>
  </si>
  <si>
    <t>Factor</t>
  </si>
  <si>
    <t>High</t>
  </si>
  <si>
    <t>Medium</t>
  </si>
  <si>
    <t>Low</t>
  </si>
  <si>
    <t>Ratings by Option</t>
  </si>
  <si>
    <t>Option Rank</t>
  </si>
  <si>
    <t>Cal</t>
  </si>
  <si>
    <t>UCLA</t>
  </si>
  <si>
    <t>Pepperdine</t>
  </si>
  <si>
    <t>Harvard</t>
  </si>
  <si>
    <t>Northwestern</t>
  </si>
  <si>
    <t>USC</t>
  </si>
  <si>
    <t>Florida State</t>
  </si>
  <si>
    <t>Michigan</t>
  </si>
  <si>
    <t>Penn State</t>
  </si>
  <si>
    <t>Oregon</t>
  </si>
  <si>
    <t>Cal Tech</t>
  </si>
  <si>
    <t>Reputation</t>
  </si>
  <si>
    <t>Academics</t>
  </si>
  <si>
    <t>Location</t>
  </si>
  <si>
    <t>Extra-curricular</t>
  </si>
  <si>
    <t>Recruiting</t>
  </si>
  <si>
    <t>Sports</t>
  </si>
  <si>
    <t>Housing</t>
  </si>
  <si>
    <t>Alumni</t>
  </si>
  <si>
    <t>Off-campus</t>
  </si>
  <si>
    <r>
      <rPr>
        <i/>
        <sz val="11"/>
        <color rgb="FF9E0000"/>
        <rFont val="Calibri"/>
        <family val="2"/>
        <scheme val="minor"/>
      </rPr>
      <t xml:space="preserve">  Abide</t>
    </r>
    <r>
      <rPr>
        <b/>
        <sz val="12"/>
        <rFont val="Calibri"/>
        <family val="2"/>
        <scheme val="minor"/>
      </rPr>
      <t>The Decision</t>
    </r>
  </si>
  <si>
    <t>Stanfurd</t>
  </si>
  <si>
    <r>
      <rPr>
        <sz val="12"/>
        <rFont val="Calibri"/>
        <family val="2"/>
        <scheme val="minor"/>
      </rPr>
      <t>keep going</t>
    </r>
    <r>
      <rPr>
        <i/>
        <sz val="12"/>
        <color rgb="FFC00000"/>
        <rFont val="Calibri"/>
        <family val="2"/>
        <scheme val="minor"/>
      </rPr>
      <t xml:space="preserve"> </t>
    </r>
    <r>
      <rPr>
        <sz val="12"/>
        <color rgb="FFC00000"/>
        <rFont val="Calibri"/>
        <family val="2"/>
        <scheme val="minor"/>
      </rPr>
      <t xml:space="preserve">  ➢  ➢  ➢</t>
    </r>
  </si>
  <si>
    <t>Red cells can be changed in this demo version</t>
  </si>
  <si>
    <t>Campus</t>
  </si>
  <si>
    <r>
      <rPr>
        <sz val="14"/>
        <rFont val="Calibri"/>
        <family val="2"/>
        <scheme val="minor"/>
      </rPr>
      <t xml:space="preserve">  When finished, scroll right for</t>
    </r>
    <r>
      <rPr>
        <sz val="14"/>
        <color rgb="FFC00000"/>
        <rFont val="Calibri"/>
        <family val="2"/>
        <scheme val="minor"/>
      </rPr>
      <t xml:space="preserve"> </t>
    </r>
    <r>
      <rPr>
        <b/>
        <i/>
        <sz val="14"/>
        <color rgb="FFC00000"/>
        <rFont val="Calibri"/>
        <family val="2"/>
        <scheme val="minor"/>
      </rPr>
      <t>The Decision</t>
    </r>
    <r>
      <rPr>
        <sz val="14"/>
        <color rgb="FFC00000"/>
        <rFont val="Calibri"/>
        <family val="2"/>
        <scheme val="minor"/>
      </rPr>
      <t xml:space="preserve"> ➢  ➢  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</si>
</sst>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;[Red]\-#,###.0"/>
    <numFmt numFmtId="165" formatCode="0;[Red]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10"/>
      <name val="Verdana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name val="Segoe UI Variable Display Semib"/>
    </font>
    <font>
      <i/>
      <sz val="12"/>
      <name val="Calibri"/>
      <family val="2"/>
      <scheme val="minor"/>
    </font>
    <font>
      <sz val="9.5"/>
      <name val="Calibri"/>
      <family val="2"/>
      <scheme val="minor"/>
    </font>
    <font>
      <b/>
      <sz val="9.5"/>
      <name val="Calibri"/>
      <family val="2"/>
      <scheme val="minor"/>
    </font>
    <font>
      <b/>
      <sz val="9.5"/>
      <name val="Segoe UI Variable Display Semib"/>
    </font>
    <font>
      <sz val="9.5"/>
      <name val="Segoe UI Variable Display Semib"/>
    </font>
    <font>
      <b/>
      <sz val="10"/>
      <name val="Segoe UI Variable Display Semib"/>
    </font>
    <font>
      <sz val="9.5"/>
      <color theme="1" tint="0.14999847407452621"/>
      <name val="Segoe UI Variable Display Semib"/>
    </font>
    <font>
      <sz val="9.5"/>
      <color theme="1"/>
      <name val="Segoe UI Variable Display Semib"/>
    </font>
    <font>
      <b/>
      <sz val="11"/>
      <color rgb="FF00642D"/>
      <name val="Segoe UI Variable Display"/>
    </font>
    <font>
      <i/>
      <sz val="11"/>
      <color rgb="FF9E0000"/>
      <name val="Calibri"/>
      <family val="2"/>
      <scheme val="minor"/>
    </font>
    <font>
      <sz val="11"/>
      <color rgb="FF9E0000"/>
      <name val="Calibri"/>
      <family val="2"/>
      <scheme val="minor"/>
    </font>
    <font>
      <i/>
      <sz val="10"/>
      <color rgb="FF9E0000"/>
      <name val="Segoe UI Variable Display Semib"/>
    </font>
    <font>
      <sz val="10"/>
      <color rgb="FF9E0000"/>
      <name val="Calibri"/>
      <family val="2"/>
      <scheme val="minor"/>
    </font>
    <font>
      <sz val="9"/>
      <color rgb="FF9E0000"/>
      <name val="Calibri"/>
      <family val="2"/>
      <scheme val="minor"/>
    </font>
    <font>
      <sz val="11"/>
      <color rgb="FF860000"/>
      <name val="Calibri"/>
      <family val="2"/>
      <scheme val="minor"/>
    </font>
    <font>
      <i/>
      <sz val="11.5"/>
      <name val="Calibri"/>
      <family val="2"/>
      <scheme val="minor"/>
    </font>
    <font>
      <i/>
      <sz val="11.5"/>
      <color rgb="FF860000"/>
      <name val="Calibri"/>
      <family val="2"/>
      <scheme val="minor"/>
    </font>
    <font>
      <i/>
      <sz val="12"/>
      <color rgb="FF86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"/>
      <color theme="0"/>
      <name val="Calibri"/>
      <family val="2"/>
      <scheme val="minor"/>
    </font>
    <font>
      <b/>
      <sz val="1"/>
      <color theme="0"/>
      <name val="Calibri"/>
      <family val="2"/>
      <scheme val="minor"/>
    </font>
    <font>
      <sz val="12"/>
      <color rgb="FFC00000"/>
      <name val="Calibri"/>
      <family val="2"/>
      <scheme val="minor"/>
    </font>
    <font>
      <i/>
      <sz val="12"/>
      <color rgb="FFC00000"/>
      <name val="Calibri"/>
      <family val="2"/>
      <scheme val="minor"/>
    </font>
    <font>
      <i/>
      <sz val="9"/>
      <color rgb="FFC00000"/>
      <name val="Calibri"/>
      <family val="2"/>
      <scheme val="minor"/>
    </font>
    <font>
      <u/>
      <sz val="10"/>
      <color theme="10"/>
      <name val="Arial"/>
      <family val="2"/>
    </font>
    <font>
      <sz val="11"/>
      <name val="Segoe UI Semibold"/>
      <family val="2"/>
    </font>
    <font>
      <u/>
      <sz val="10"/>
      <color rgb="FF0303FF"/>
      <name val="Segoe UI Semibold"/>
      <family val="2"/>
    </font>
    <font>
      <sz val="9"/>
      <color indexed="81"/>
      <name val="Tahoma"/>
      <family val="2"/>
    </font>
    <font>
      <i/>
      <sz val="14"/>
      <color rgb="FF860000"/>
      <name val="Calibri"/>
      <family val="2"/>
      <scheme val="minor"/>
    </font>
    <font>
      <sz val="14"/>
      <name val="Calibri"/>
      <family val="2"/>
      <scheme val="minor"/>
    </font>
    <font>
      <sz val="14"/>
      <color rgb="FFC00000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sz val="9.5"/>
      <color theme="0" tint="-0.34998626667073579"/>
      <name val="Segoe UI Variable Display Semib"/>
    </font>
    <font>
      <b/>
      <sz val="9.5"/>
      <color theme="0" tint="-0.3499862666707357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F1F9EF"/>
        <bgColor indexed="64"/>
      </patternFill>
    </fill>
    <fill>
      <patternFill patternType="solid">
        <fgColor rgb="FFF3FAFF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DEF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DB3B3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64"/>
      </left>
      <right style="hair">
        <color theme="0" tint="-0.24994659260841701"/>
      </right>
      <top style="hair">
        <color theme="0" tint="-0.24994659260841701"/>
      </top>
      <bottom style="thin">
        <color indexed="64"/>
      </bottom>
      <diagonal/>
    </border>
    <border>
      <left style="hair">
        <color theme="0" tint="-0.24994659260841701"/>
      </left>
      <right style="thin">
        <color indexed="64"/>
      </right>
      <top style="hair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 style="thin">
        <color indexed="64"/>
      </bottom>
      <diagonal/>
    </border>
  </borders>
  <cellStyleXfs count="5">
    <xf numFmtId="0" fontId="0" fillId="0" borderId="0"/>
    <xf numFmtId="0" fontId="2" fillId="2" borderId="1" applyNumberFormat="0" applyFont="0" applyAlignment="0" applyProtection="0"/>
    <xf numFmtId="0" fontId="1" fillId="3" borderId="0" applyNumberFormat="0" applyBorder="0" applyAlignment="0" applyProtection="0"/>
    <xf numFmtId="0" fontId="9" fillId="0" borderId="0"/>
    <xf numFmtId="0" fontId="40" fillId="0" borderId="0" applyNumberFormat="0" applyFill="0" applyBorder="0" applyAlignment="0" applyProtection="0"/>
  </cellStyleXfs>
  <cellXfs count="128">
    <xf numFmtId="0" fontId="0" fillId="0" borderId="0" xfId="0"/>
    <xf numFmtId="0" fontId="3" fillId="0" borderId="0" xfId="0" applyFont="1" applyProtection="1">
      <protection hidden="1"/>
    </xf>
    <xf numFmtId="0" fontId="5" fillId="0" borderId="0" xfId="0" applyFont="1" applyProtection="1">
      <protection hidden="1"/>
    </xf>
    <xf numFmtId="164" fontId="5" fillId="0" borderId="0" xfId="0" applyNumberFormat="1" applyFont="1" applyProtection="1">
      <protection hidden="1"/>
    </xf>
    <xf numFmtId="164" fontId="5" fillId="0" borderId="0" xfId="0" applyNumberFormat="1" applyFont="1" applyAlignment="1" applyProtection="1">
      <alignment vertical="top"/>
      <protection hidden="1"/>
    </xf>
    <xf numFmtId="0" fontId="5" fillId="0" borderId="0" xfId="0" applyFont="1" applyAlignment="1" applyProtection="1">
      <alignment horizontal="center"/>
      <protection hidden="1"/>
    </xf>
    <xf numFmtId="38" fontId="5" fillId="0" borderId="0" xfId="0" applyNumberFormat="1" applyFont="1" applyProtection="1">
      <protection hidden="1"/>
    </xf>
    <xf numFmtId="38" fontId="5" fillId="0" borderId="0" xfId="0" applyNumberFormat="1" applyFont="1" applyAlignment="1" applyProtection="1">
      <alignment horizontal="center"/>
      <protection hidden="1"/>
    </xf>
    <xf numFmtId="38" fontId="5" fillId="0" borderId="0" xfId="0" applyNumberFormat="1" applyFont="1" applyAlignment="1" applyProtection="1">
      <alignment horizontal="centerContinuous"/>
      <protection hidden="1"/>
    </xf>
    <xf numFmtId="0" fontId="5" fillId="0" borderId="0" xfId="0" applyFont="1" applyAlignment="1" applyProtection="1">
      <alignment vertical="center"/>
      <protection hidden="1"/>
    </xf>
    <xf numFmtId="38" fontId="5" fillId="0" borderId="0" xfId="0" applyNumberFormat="1" applyFont="1" applyAlignment="1" applyProtection="1">
      <alignment horizontal="left" vertical="top"/>
      <protection hidden="1"/>
    </xf>
    <xf numFmtId="38" fontId="11" fillId="0" borderId="0" xfId="0" applyNumberFormat="1" applyFont="1" applyAlignment="1" applyProtection="1">
      <alignment vertical="center"/>
      <protection hidden="1"/>
    </xf>
    <xf numFmtId="0" fontId="5" fillId="8" borderId="0" xfId="0" applyFont="1" applyFill="1" applyProtection="1">
      <protection hidden="1"/>
    </xf>
    <xf numFmtId="38" fontId="14" fillId="0" borderId="0" xfId="0" applyNumberFormat="1" applyFont="1" applyAlignment="1" applyProtection="1">
      <alignment vertical="center"/>
      <protection hidden="1"/>
    </xf>
    <xf numFmtId="38" fontId="5" fillId="8" borderId="0" xfId="0" applyNumberFormat="1" applyFont="1" applyFill="1" applyProtection="1">
      <protection hidden="1"/>
    </xf>
    <xf numFmtId="38" fontId="5" fillId="0" borderId="0" xfId="0" quotePrefix="1" applyNumberFormat="1" applyFont="1" applyAlignment="1" applyProtection="1">
      <alignment horizontal="left" vertical="center"/>
      <protection hidden="1"/>
    </xf>
    <xf numFmtId="38" fontId="5" fillId="8" borderId="0" xfId="0" applyNumberFormat="1" applyFont="1" applyFill="1" applyAlignment="1" applyProtection="1">
      <alignment horizontal="center"/>
      <protection hidden="1"/>
    </xf>
    <xf numFmtId="0" fontId="3" fillId="8" borderId="0" xfId="0" applyFont="1" applyFill="1" applyProtection="1">
      <protection hidden="1"/>
    </xf>
    <xf numFmtId="0" fontId="10" fillId="8" borderId="0" xfId="0" applyFont="1" applyFill="1" applyAlignment="1" applyProtection="1">
      <alignment vertical="center"/>
      <protection hidden="1"/>
    </xf>
    <xf numFmtId="0" fontId="17" fillId="8" borderId="0" xfId="0" applyFont="1" applyFill="1" applyProtection="1">
      <protection hidden="1"/>
    </xf>
    <xf numFmtId="0" fontId="27" fillId="0" borderId="0" xfId="0" applyFont="1" applyAlignment="1" applyProtection="1">
      <alignment vertical="top"/>
      <protection hidden="1"/>
    </xf>
    <xf numFmtId="0" fontId="31" fillId="0" borderId="0" xfId="0" applyFon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33" fillId="0" borderId="0" xfId="0" applyFont="1" applyAlignment="1" applyProtection="1">
      <alignment vertical="center"/>
      <protection hidden="1"/>
    </xf>
    <xf numFmtId="0" fontId="30" fillId="0" borderId="12" xfId="0" applyFont="1" applyBorder="1" applyAlignment="1" applyProtection="1">
      <alignment horizontal="left" vertical="top" indent="1"/>
      <protection hidden="1"/>
    </xf>
    <xf numFmtId="0" fontId="30" fillId="0" borderId="0" xfId="0" applyFont="1" applyAlignment="1" applyProtection="1">
      <alignment vertical="top"/>
      <protection hidden="1"/>
    </xf>
    <xf numFmtId="0" fontId="29" fillId="0" borderId="12" xfId="0" applyFont="1" applyBorder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horizontal="left" vertical="center" indent="3"/>
      <protection hidden="1"/>
    </xf>
    <xf numFmtId="0" fontId="34" fillId="8" borderId="0" xfId="0" applyFont="1" applyFill="1" applyProtection="1">
      <protection hidden="1"/>
    </xf>
    <xf numFmtId="0" fontId="34" fillId="8" borderId="0" xfId="0" applyFont="1" applyFill="1" applyAlignment="1" applyProtection="1">
      <alignment vertical="center"/>
      <protection hidden="1"/>
    </xf>
    <xf numFmtId="0" fontId="35" fillId="8" borderId="0" xfId="0" applyFont="1" applyFill="1" applyProtection="1">
      <protection hidden="1"/>
    </xf>
    <xf numFmtId="0" fontId="35" fillId="8" borderId="0" xfId="0" applyFont="1" applyFill="1" applyAlignment="1" applyProtection="1">
      <alignment vertical="center"/>
      <protection hidden="1"/>
    </xf>
    <xf numFmtId="0" fontId="35" fillId="8" borderId="0" xfId="0" applyFont="1" applyFill="1" applyAlignment="1" applyProtection="1">
      <alignment horizontal="center"/>
      <protection hidden="1"/>
    </xf>
    <xf numFmtId="1" fontId="35" fillId="8" borderId="0" xfId="0" applyNumberFormat="1" applyFont="1" applyFill="1" applyAlignment="1" applyProtection="1">
      <alignment horizontal="center"/>
      <protection hidden="1"/>
    </xf>
    <xf numFmtId="0" fontId="35" fillId="8" borderId="0" xfId="0" applyFont="1" applyFill="1" applyAlignment="1" applyProtection="1">
      <alignment horizontal="left"/>
      <protection hidden="1"/>
    </xf>
    <xf numFmtId="3" fontId="35" fillId="8" borderId="0" xfId="0" applyNumberFormat="1" applyFont="1" applyFill="1" applyAlignment="1" applyProtection="1">
      <alignment horizontal="center"/>
      <protection hidden="1"/>
    </xf>
    <xf numFmtId="3" fontId="35" fillId="8" borderId="0" xfId="0" applyNumberFormat="1" applyFont="1" applyFill="1" applyAlignment="1" applyProtection="1">
      <alignment horizontal="left"/>
      <protection hidden="1"/>
    </xf>
    <xf numFmtId="3" fontId="35" fillId="8" borderId="0" xfId="0" quotePrefix="1" applyNumberFormat="1" applyFont="1" applyFill="1" applyAlignment="1" applyProtection="1">
      <alignment horizontal="center"/>
      <protection hidden="1"/>
    </xf>
    <xf numFmtId="1" fontId="35" fillId="8" borderId="0" xfId="0" applyNumberFormat="1" applyFont="1" applyFill="1" applyAlignment="1" applyProtection="1">
      <alignment horizontal="left"/>
      <protection hidden="1"/>
    </xf>
    <xf numFmtId="165" fontId="35" fillId="8" borderId="0" xfId="0" applyNumberFormat="1" applyFont="1" applyFill="1" applyProtection="1">
      <protection hidden="1"/>
    </xf>
    <xf numFmtId="3" fontId="35" fillId="8" borderId="0" xfId="0" quotePrefix="1" applyNumberFormat="1" applyFont="1" applyFill="1" applyAlignment="1" applyProtection="1">
      <alignment horizontal="left"/>
      <protection hidden="1"/>
    </xf>
    <xf numFmtId="3" fontId="36" fillId="8" borderId="0" xfId="0" applyNumberFormat="1" applyFont="1" applyFill="1" applyAlignment="1" applyProtection="1">
      <alignment horizontal="center"/>
      <protection hidden="1"/>
    </xf>
    <xf numFmtId="0" fontId="39" fillId="0" borderId="0" xfId="0" applyFont="1" applyAlignment="1" applyProtection="1">
      <alignment horizontal="left" indent="5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top"/>
      <protection hidden="1"/>
    </xf>
    <xf numFmtId="0" fontId="10" fillId="0" borderId="0" xfId="0" applyFont="1" applyAlignment="1" applyProtection="1">
      <alignment vertical="top"/>
      <protection hidden="1"/>
    </xf>
    <xf numFmtId="0" fontId="10" fillId="0" borderId="0" xfId="0" applyFont="1" applyAlignment="1" applyProtection="1">
      <alignment vertical="center"/>
      <protection hidden="1"/>
    </xf>
    <xf numFmtId="38" fontId="15" fillId="0" borderId="0" xfId="0" applyNumberFormat="1" applyFont="1" applyProtection="1">
      <protection hidden="1"/>
    </xf>
    <xf numFmtId="38" fontId="15" fillId="0" borderId="0" xfId="0" applyNumberFormat="1" applyFont="1" applyAlignment="1" applyProtection="1">
      <alignment vertical="center"/>
      <protection hidden="1"/>
    </xf>
    <xf numFmtId="38" fontId="13" fillId="0" borderId="0" xfId="0" applyNumberFormat="1" applyFont="1" applyProtection="1">
      <protection hidden="1"/>
    </xf>
    <xf numFmtId="38" fontId="5" fillId="0" borderId="0" xfId="0" applyNumberFormat="1" applyFont="1" applyAlignment="1" applyProtection="1">
      <alignment horizontal="left" vertical="top" indent="2"/>
      <protection hidden="1"/>
    </xf>
    <xf numFmtId="38" fontId="21" fillId="8" borderId="0" xfId="0" applyNumberFormat="1" applyFont="1" applyFill="1" applyAlignment="1" applyProtection="1">
      <alignment vertical="center"/>
      <protection hidden="1"/>
    </xf>
    <xf numFmtId="38" fontId="21" fillId="8" borderId="0" xfId="0" applyNumberFormat="1" applyFont="1" applyFill="1" applyAlignment="1" applyProtection="1">
      <alignment horizontal="left" vertical="center"/>
      <protection hidden="1"/>
    </xf>
    <xf numFmtId="0" fontId="21" fillId="8" borderId="0" xfId="0" applyFont="1" applyFill="1" applyAlignment="1" applyProtection="1">
      <alignment horizontal="center"/>
      <protection hidden="1"/>
    </xf>
    <xf numFmtId="38" fontId="5" fillId="0" borderId="0" xfId="0" applyNumberFormat="1" applyFont="1" applyAlignment="1" applyProtection="1">
      <alignment horizontal="left" vertical="center" indent="2"/>
      <protection hidden="1"/>
    </xf>
    <xf numFmtId="38" fontId="10" fillId="8" borderId="0" xfId="0" applyNumberFormat="1" applyFont="1" applyFill="1" applyAlignment="1" applyProtection="1">
      <alignment horizontal="left" vertical="center"/>
      <protection hidden="1"/>
    </xf>
    <xf numFmtId="38" fontId="5" fillId="0" borderId="0" xfId="0" applyNumberFormat="1" applyFont="1" applyAlignment="1" applyProtection="1">
      <alignment horizontal="left" indent="2"/>
      <protection hidden="1"/>
    </xf>
    <xf numFmtId="0" fontId="5" fillId="8" borderId="0" xfId="0" applyFont="1" applyFill="1" applyAlignment="1" applyProtection="1">
      <alignment horizontal="center" vertical="center"/>
      <protection hidden="1"/>
    </xf>
    <xf numFmtId="0" fontId="21" fillId="8" borderId="0" xfId="0" applyFont="1" applyFill="1" applyProtection="1">
      <protection hidden="1"/>
    </xf>
    <xf numFmtId="3" fontId="18" fillId="11" borderId="14" xfId="0" applyNumberFormat="1" applyFont="1" applyFill="1" applyBorder="1" applyAlignment="1" applyProtection="1">
      <alignment horizontal="center" vertical="center"/>
      <protection hidden="1"/>
    </xf>
    <xf numFmtId="3" fontId="18" fillId="10" borderId="15" xfId="0" applyNumberFormat="1" applyFont="1" applyFill="1" applyBorder="1" applyAlignment="1" applyProtection="1">
      <alignment horizontal="center" vertical="center"/>
      <protection hidden="1"/>
    </xf>
    <xf numFmtId="3" fontId="18" fillId="9" borderId="15" xfId="0" applyNumberFormat="1" applyFont="1" applyFill="1" applyBorder="1" applyAlignment="1" applyProtection="1">
      <alignment horizontal="center" vertical="center"/>
      <protection hidden="1"/>
    </xf>
    <xf numFmtId="3" fontId="18" fillId="13" borderId="15" xfId="0" applyNumberFormat="1" applyFont="1" applyFill="1" applyBorder="1" applyAlignment="1" applyProtection="1">
      <alignment horizontal="center" vertical="center"/>
      <protection hidden="1"/>
    </xf>
    <xf numFmtId="0" fontId="18" fillId="12" borderId="16" xfId="0" applyFont="1" applyFill="1" applyBorder="1" applyAlignment="1" applyProtection="1">
      <alignment horizontal="center" vertical="center"/>
      <protection hidden="1"/>
    </xf>
    <xf numFmtId="0" fontId="19" fillId="8" borderId="0" xfId="0" applyFont="1" applyFill="1" applyProtection="1">
      <protection hidden="1"/>
    </xf>
    <xf numFmtId="0" fontId="19" fillId="8" borderId="0" xfId="0" applyFont="1" applyFill="1" applyAlignment="1" applyProtection="1">
      <alignment horizontal="center"/>
      <protection hidden="1"/>
    </xf>
    <xf numFmtId="38" fontId="24" fillId="8" borderId="21" xfId="0" applyNumberFormat="1" applyFont="1" applyFill="1" applyBorder="1" applyAlignment="1" applyProtection="1">
      <alignment horizontal="left" vertical="top" indent="1"/>
      <protection hidden="1"/>
    </xf>
    <xf numFmtId="38" fontId="18" fillId="8" borderId="0" xfId="0" applyNumberFormat="1" applyFont="1" applyFill="1" applyProtection="1">
      <protection hidden="1"/>
    </xf>
    <xf numFmtId="38" fontId="18" fillId="8" borderId="21" xfId="0" applyNumberFormat="1" applyFont="1" applyFill="1" applyBorder="1" applyProtection="1">
      <protection hidden="1"/>
    </xf>
    <xf numFmtId="1" fontId="20" fillId="8" borderId="17" xfId="0" applyNumberFormat="1" applyFont="1" applyFill="1" applyBorder="1" applyProtection="1">
      <protection hidden="1"/>
    </xf>
    <xf numFmtId="0" fontId="20" fillId="8" borderId="17" xfId="0" applyFont="1" applyFill="1" applyBorder="1" applyAlignment="1" applyProtection="1">
      <alignment horizontal="center" vertical="center"/>
      <protection hidden="1"/>
    </xf>
    <xf numFmtId="0" fontId="18" fillId="8" borderId="17" xfId="0" applyFont="1" applyFill="1" applyBorder="1" applyAlignment="1" applyProtection="1">
      <alignment horizontal="center" vertical="center"/>
      <protection hidden="1"/>
    </xf>
    <xf numFmtId="38" fontId="22" fillId="8" borderId="19" xfId="0" applyNumberFormat="1" applyFont="1" applyFill="1" applyBorder="1" applyAlignment="1" applyProtection="1">
      <alignment horizontal="left" vertical="center" indent="1"/>
      <protection hidden="1"/>
    </xf>
    <xf numFmtId="38" fontId="17" fillId="8" borderId="0" xfId="0" applyNumberFormat="1" applyFont="1" applyFill="1" applyProtection="1">
      <protection hidden="1"/>
    </xf>
    <xf numFmtId="38" fontId="18" fillId="8" borderId="19" xfId="0" applyNumberFormat="1" applyFont="1" applyFill="1" applyBorder="1" applyProtection="1">
      <protection hidden="1"/>
    </xf>
    <xf numFmtId="1" fontId="20" fillId="8" borderId="13" xfId="0" applyNumberFormat="1" applyFont="1" applyFill="1" applyBorder="1" applyProtection="1">
      <protection hidden="1"/>
    </xf>
    <xf numFmtId="0" fontId="20" fillId="8" borderId="13" xfId="0" applyFont="1" applyFill="1" applyBorder="1" applyAlignment="1" applyProtection="1">
      <alignment horizontal="center" vertical="center"/>
      <protection hidden="1"/>
    </xf>
    <xf numFmtId="0" fontId="18" fillId="8" borderId="13" xfId="0" applyFont="1" applyFill="1" applyBorder="1" applyAlignment="1" applyProtection="1">
      <alignment horizontal="center" vertical="center"/>
      <protection hidden="1"/>
    </xf>
    <xf numFmtId="0" fontId="20" fillId="8" borderId="13" xfId="0" applyFont="1" applyFill="1" applyBorder="1" applyAlignment="1" applyProtection="1">
      <alignment horizontal="center"/>
      <protection hidden="1"/>
    </xf>
    <xf numFmtId="0" fontId="18" fillId="8" borderId="13" xfId="0" applyFont="1" applyFill="1" applyBorder="1" applyAlignment="1" applyProtection="1">
      <alignment horizontal="center"/>
      <protection hidden="1"/>
    </xf>
    <xf numFmtId="38" fontId="5" fillId="0" borderId="0" xfId="0" applyNumberFormat="1" applyFont="1" applyAlignment="1" applyProtection="1">
      <alignment horizontal="left"/>
      <protection hidden="1"/>
    </xf>
    <xf numFmtId="38" fontId="20" fillId="8" borderId="19" xfId="0" applyNumberFormat="1" applyFont="1" applyFill="1" applyBorder="1" applyAlignment="1" applyProtection="1">
      <alignment horizontal="left" vertical="center" indent="1"/>
      <protection hidden="1"/>
    </xf>
    <xf numFmtId="38" fontId="10" fillId="0" borderId="0" xfId="0" applyNumberFormat="1" applyFont="1" applyAlignment="1" applyProtection="1">
      <alignment horizontal="left"/>
      <protection hidden="1"/>
    </xf>
    <xf numFmtId="1" fontId="20" fillId="8" borderId="18" xfId="0" applyNumberFormat="1" applyFont="1" applyFill="1" applyBorder="1" applyProtection="1">
      <protection hidden="1"/>
    </xf>
    <xf numFmtId="0" fontId="20" fillId="8" borderId="18" xfId="0" applyFont="1" applyFill="1" applyBorder="1" applyAlignment="1" applyProtection="1">
      <alignment horizontal="center"/>
      <protection hidden="1"/>
    </xf>
    <xf numFmtId="0" fontId="18" fillId="8" borderId="18" xfId="0" applyFont="1" applyFill="1" applyBorder="1" applyAlignment="1" applyProtection="1">
      <alignment horizontal="center"/>
      <protection hidden="1"/>
    </xf>
    <xf numFmtId="38" fontId="22" fillId="8" borderId="20" xfId="0" applyNumberFormat="1" applyFont="1" applyFill="1" applyBorder="1" applyAlignment="1" applyProtection="1">
      <alignment horizontal="left" vertical="center" indent="1"/>
      <protection hidden="1"/>
    </xf>
    <xf numFmtId="38" fontId="18" fillId="8" borderId="20" xfId="0" applyNumberFormat="1" applyFont="1" applyFill="1" applyBorder="1" applyProtection="1">
      <protection hidden="1"/>
    </xf>
    <xf numFmtId="38" fontId="18" fillId="0" borderId="0" xfId="0" applyNumberFormat="1" applyFont="1" applyProtection="1">
      <protection hidden="1"/>
    </xf>
    <xf numFmtId="0" fontId="17" fillId="0" borderId="0" xfId="0" applyFont="1" applyProtection="1">
      <protection hidden="1"/>
    </xf>
    <xf numFmtId="0" fontId="5" fillId="8" borderId="0" xfId="0" applyFont="1" applyFill="1" applyAlignment="1" applyProtection="1">
      <alignment horizontal="left"/>
      <protection hidden="1"/>
    </xf>
    <xf numFmtId="0" fontId="26" fillId="0" borderId="12" xfId="0" applyFont="1" applyBorder="1" applyAlignment="1" applyProtection="1">
      <alignment horizontal="left" vertical="center" indent="3"/>
      <protection hidden="1"/>
    </xf>
    <xf numFmtId="0" fontId="28" fillId="0" borderId="12" xfId="0" applyFont="1" applyBorder="1" applyAlignment="1" applyProtection="1">
      <alignment horizontal="left" vertical="center" indent="3"/>
      <protection hidden="1"/>
    </xf>
    <xf numFmtId="0" fontId="32" fillId="0" borderId="0" xfId="0" applyFont="1" applyAlignment="1" applyProtection="1">
      <alignment vertical="center"/>
      <protection hidden="1"/>
    </xf>
    <xf numFmtId="0" fontId="32" fillId="0" borderId="22" xfId="0" applyFont="1" applyBorder="1" applyAlignment="1" applyProtection="1">
      <alignment vertical="center"/>
      <protection hidden="1"/>
    </xf>
    <xf numFmtId="0" fontId="32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 vertical="center" indent="3"/>
      <protection hidden="1"/>
    </xf>
    <xf numFmtId="0" fontId="28" fillId="0" borderId="0" xfId="0" applyFont="1" applyAlignment="1" applyProtection="1">
      <alignment horizontal="left" vertical="center" indent="3"/>
      <protection hidden="1"/>
    </xf>
    <xf numFmtId="38" fontId="5" fillId="14" borderId="0" xfId="0" applyNumberFormat="1" applyFont="1" applyFill="1" applyProtection="1">
      <protection hidden="1"/>
    </xf>
    <xf numFmtId="38" fontId="41" fillId="14" borderId="0" xfId="0" applyNumberFormat="1" applyFont="1" applyFill="1" applyProtection="1">
      <protection hidden="1"/>
    </xf>
    <xf numFmtId="0" fontId="42" fillId="8" borderId="0" xfId="4" applyFont="1" applyFill="1" applyAlignment="1" applyProtection="1">
      <alignment horizontal="right" vertical="top"/>
      <protection hidden="1"/>
    </xf>
    <xf numFmtId="0" fontId="42" fillId="8" borderId="0" xfId="4" applyFont="1" applyFill="1" applyAlignment="1" applyProtection="1">
      <alignment vertical="top"/>
      <protection hidden="1"/>
    </xf>
    <xf numFmtId="0" fontId="20" fillId="15" borderId="11" xfId="0" applyFont="1" applyFill="1" applyBorder="1" applyAlignment="1" applyProtection="1">
      <alignment horizontal="center" vertical="center"/>
      <protection locked="0" hidden="1"/>
    </xf>
    <xf numFmtId="0" fontId="18" fillId="15" borderId="2" xfId="0" applyFont="1" applyFill="1" applyBorder="1" applyAlignment="1" applyProtection="1">
      <alignment horizontal="center" vertical="center"/>
      <protection locked="0" hidden="1"/>
    </xf>
    <xf numFmtId="49" fontId="23" fillId="15" borderId="23" xfId="2" applyNumberFormat="1" applyFont="1" applyFill="1" applyBorder="1" applyAlignment="1" applyProtection="1">
      <alignment horizontal="left" vertical="center" indent="1"/>
      <protection locked="0" hidden="1"/>
    </xf>
    <xf numFmtId="49" fontId="23" fillId="15" borderId="24" xfId="2" applyNumberFormat="1" applyFont="1" applyFill="1" applyBorder="1" applyAlignment="1" applyProtection="1">
      <alignment horizontal="left" vertical="center" indent="1"/>
      <protection locked="0" hidden="1"/>
    </xf>
    <xf numFmtId="0" fontId="8" fillId="8" borderId="0" xfId="3" applyFont="1" applyFill="1" applyProtection="1">
      <protection locked="0" hidden="1"/>
    </xf>
    <xf numFmtId="0" fontId="44" fillId="0" borderId="0" xfId="0" applyFont="1" applyAlignment="1" applyProtection="1">
      <alignment horizontal="right" vertical="center"/>
      <protection hidden="1"/>
    </xf>
    <xf numFmtId="0" fontId="48" fillId="4" borderId="11" xfId="0" applyFont="1" applyFill="1" applyBorder="1" applyAlignment="1" applyProtection="1">
      <alignment horizontal="center" vertical="center"/>
      <protection hidden="1"/>
    </xf>
    <xf numFmtId="0" fontId="49" fillId="5" borderId="3" xfId="0" applyFont="1" applyFill="1" applyBorder="1" applyAlignment="1" applyProtection="1">
      <alignment horizontal="center" vertical="center"/>
      <protection hidden="1"/>
    </xf>
    <xf numFmtId="0" fontId="49" fillId="5" borderId="5" xfId="0" applyFont="1" applyFill="1" applyBorder="1" applyAlignment="1" applyProtection="1">
      <alignment horizontal="center" vertical="center"/>
      <protection hidden="1"/>
    </xf>
    <xf numFmtId="0" fontId="49" fillId="5" borderId="2" xfId="0" applyFont="1" applyFill="1" applyBorder="1" applyAlignment="1" applyProtection="1">
      <alignment horizontal="center" vertical="center"/>
      <protection hidden="1"/>
    </xf>
    <xf numFmtId="0" fontId="49" fillId="5" borderId="7" xfId="0" applyFont="1" applyFill="1" applyBorder="1" applyAlignment="1" applyProtection="1">
      <alignment horizontal="center" vertical="center"/>
      <protection hidden="1"/>
    </xf>
    <xf numFmtId="0" fontId="49" fillId="5" borderId="4" xfId="0" applyFont="1" applyFill="1" applyBorder="1" applyAlignment="1" applyProtection="1">
      <alignment horizontal="center" vertical="center"/>
      <protection hidden="1"/>
    </xf>
    <xf numFmtId="0" fontId="49" fillId="5" borderId="9" xfId="0" applyFont="1" applyFill="1" applyBorder="1" applyAlignment="1" applyProtection="1">
      <alignment horizontal="center" vertical="center"/>
      <protection hidden="1"/>
    </xf>
    <xf numFmtId="49" fontId="48" fillId="6" borderId="24" xfId="2" applyNumberFormat="1" applyFont="1" applyFill="1" applyBorder="1" applyAlignment="1" applyProtection="1">
      <alignment horizontal="left" vertical="center" indent="1"/>
      <protection hidden="1"/>
    </xf>
    <xf numFmtId="0" fontId="49" fillId="5" borderId="6" xfId="0" applyFont="1" applyFill="1" applyBorder="1" applyAlignment="1" applyProtection="1">
      <alignment horizontal="center" vertical="center"/>
      <protection hidden="1"/>
    </xf>
    <xf numFmtId="49" fontId="48" fillId="6" borderId="25" xfId="2" applyNumberFormat="1" applyFont="1" applyFill="1" applyBorder="1" applyAlignment="1" applyProtection="1">
      <alignment horizontal="left" vertical="center" indent="1"/>
      <protection hidden="1"/>
    </xf>
    <xf numFmtId="0" fontId="49" fillId="5" borderId="8" xfId="0" applyFont="1" applyFill="1" applyBorder="1" applyAlignment="1" applyProtection="1">
      <alignment horizontal="center" vertical="center"/>
      <protection hidden="1"/>
    </xf>
    <xf numFmtId="164" fontId="20" fillId="15" borderId="10" xfId="1" applyNumberFormat="1" applyFont="1" applyFill="1" applyBorder="1" applyAlignment="1" applyProtection="1">
      <alignment horizontal="center" vertical="center" wrapText="1"/>
      <protection locked="0" hidden="1"/>
    </xf>
    <xf numFmtId="164" fontId="20" fillId="15" borderId="11" xfId="1" applyNumberFormat="1" applyFont="1" applyFill="1" applyBorder="1" applyAlignment="1" applyProtection="1">
      <alignment horizontal="center" vertical="center" wrapText="1"/>
      <protection locked="0" hidden="1"/>
    </xf>
    <xf numFmtId="164" fontId="48" fillId="7" borderId="10" xfId="1" applyNumberFormat="1" applyFont="1" applyFill="1" applyBorder="1" applyAlignment="1" applyProtection="1">
      <alignment horizontal="center" vertical="center" wrapText="1"/>
      <protection hidden="1"/>
    </xf>
    <xf numFmtId="164" fontId="48" fillId="7" borderId="11" xfId="1" applyNumberFormat="1" applyFont="1" applyFill="1" applyBorder="1" applyAlignment="1" applyProtection="1">
      <alignment horizontal="center" vertical="center" wrapText="1"/>
      <protection hidden="1"/>
    </xf>
    <xf numFmtId="0" fontId="19" fillId="8" borderId="0" xfId="0" applyFont="1" applyFill="1" applyAlignment="1" applyProtection="1">
      <alignment horizontal="left" vertical="center"/>
      <protection hidden="1"/>
    </xf>
    <xf numFmtId="0" fontId="19" fillId="8" borderId="0" xfId="0" applyFont="1" applyFill="1" applyAlignment="1" applyProtection="1">
      <alignment horizontal="left" vertical="center" indent="1"/>
      <protection hidden="1"/>
    </xf>
    <xf numFmtId="38" fontId="15" fillId="0" borderId="0" xfId="0" applyNumberFormat="1" applyFont="1" applyAlignment="1" applyProtection="1">
      <alignment horizontal="left" vertical="center"/>
      <protection hidden="1"/>
    </xf>
    <xf numFmtId="38" fontId="4" fillId="0" borderId="0" xfId="0" applyNumberFormat="1" applyFont="1" applyAlignment="1" applyProtection="1">
      <alignment horizontal="left" vertical="top"/>
      <protection hidden="1"/>
    </xf>
  </cellXfs>
  <cellStyles count="5">
    <cellStyle name="20% - Accent3" xfId="2" builtinId="38"/>
    <cellStyle name="Hyperlink" xfId="4" builtinId="8"/>
    <cellStyle name="Normal" xfId="0" builtinId="0"/>
    <cellStyle name="Normal 2 2" xfId="3" xr:uid="{899D7A69-11B5-489E-9F25-1EE518E31E4F}"/>
    <cellStyle name="Note" xfId="1" builtinId="10"/>
  </cellStyles>
  <dxfs count="14">
    <dxf>
      <fill>
        <patternFill>
          <bgColor rgb="FFA6A6A6"/>
        </patternFill>
      </fill>
    </dxf>
    <dxf>
      <fill>
        <patternFill>
          <bgColor rgb="FFBFBFBF"/>
        </patternFill>
      </fill>
    </dxf>
    <dxf>
      <fill>
        <patternFill>
          <bgColor rgb="FFD9D9D9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CCCCCC"/>
        </patternFill>
      </fill>
    </dxf>
    <dxf>
      <fill>
        <patternFill>
          <bgColor rgb="FFA6A6A6"/>
        </patternFill>
      </fill>
    </dxf>
    <dxf>
      <fill>
        <patternFill>
          <bgColor rgb="FFC1E0FF"/>
        </patternFill>
      </fill>
    </dxf>
    <dxf>
      <fill>
        <patternFill>
          <bgColor rgb="FFD3E9FF"/>
        </patternFill>
      </fill>
    </dxf>
    <dxf>
      <fill>
        <patternFill>
          <bgColor rgb="FFE7F3FF"/>
        </patternFill>
      </fill>
    </dxf>
    <dxf>
      <fill>
        <patternFill>
          <bgColor rgb="FFFBFDFF"/>
        </patternFill>
      </fill>
    </dxf>
    <dxf>
      <fill>
        <patternFill>
          <bgColor rgb="FFFBFDFF"/>
        </patternFill>
      </fill>
    </dxf>
    <dxf>
      <fill>
        <patternFill>
          <bgColor rgb="FFE9F4FF"/>
        </patternFill>
      </fill>
    </dxf>
    <dxf>
      <fill>
        <patternFill>
          <bgColor rgb="FFC1E0FF"/>
        </patternFill>
      </fill>
    </dxf>
  </dxfs>
  <tableStyles count="0" defaultTableStyle="TableStyleMedium9" defaultPivotStyle="PivotStyleLight16"/>
  <colors>
    <mruColors>
      <color rgb="FFFDB3B3"/>
      <color rgb="FFFCA2A2"/>
      <color rgb="FFB20000"/>
      <color rgb="FF860000"/>
      <color rgb="FF9E0000"/>
      <color rgb="FF00642D"/>
      <color rgb="FF007A37"/>
      <color rgb="FF002060"/>
      <color rgb="FFE8E8E8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325671729813739E-2"/>
          <c:y val="2.5550419240113017E-4"/>
          <c:w val="0.96967432827018629"/>
          <c:h val="0.9843150718597747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DecisionMaker!$FD$30</c:f>
              <c:strCache>
                <c:ptCount val="1"/>
                <c:pt idx="0">
                  <c:v>Composite Score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0">
              <a:solidFill>
                <a:schemeClr val="bg1"/>
              </a:solidFill>
              <a:prstDash val="solid"/>
            </a:ln>
            <a:effectLst/>
          </c:spPr>
          <c:invertIfNegative val="0"/>
          <c:dPt>
            <c:idx val="11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0">
                <a:solidFill>
                  <a:schemeClr val="bg1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2-C988-4FC2-8F1C-ACE1F3BF2C3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216-462E-B66B-294220FE315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AF3F-4B03-A131-EC795A9099FF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AF3F-4B03-A131-EC795A9099FF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AF3F-4B03-A131-EC795A9099FF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AF3F-4B03-A131-EC795A9099FF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AF3F-4B03-A131-EC795A9099FF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AF3F-4B03-A131-EC795A9099FF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AF3F-4B03-A131-EC795A9099FF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AF3F-4B03-A131-EC795A9099FF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AF3F-4B03-A131-EC795A9099FF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AF3F-4B03-A131-EC795A9099FF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950" b="0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1943525533188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AF3F-4B03-A131-EC795A9099FF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vertOverflow="overflow" horzOverflow="overflow" wrap="square" lIns="38100" tIns="19050" rIns="38100" bIns="19050" anchor="ctr">
                  <a:noAutofit/>
                </a:bodyPr>
                <a:lstStyle/>
                <a:p>
                  <a:pPr>
                    <a:defRPr sz="1200" b="1">
                      <a:solidFill>
                        <a:srgbClr val="00642D"/>
                      </a:solidFill>
                      <a:latin typeface="+mn-lt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18625079538929"/>
                      <c:h val="6.092837140542153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988-4FC2-8F1C-ACE1F3BF2C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vertOverflow="overflow" horzOverflow="overflow" wrap="square" lIns="38100" tIns="19050" rIns="38100" bIns="19050" anchor="ctr">
                <a:spAutoFit/>
              </a:bodyPr>
              <a:lstStyle/>
              <a:p>
                <a:pPr>
                  <a:defRPr sz="950" b="0">
                    <a:solidFill>
                      <a:sysClr val="windowText" lastClr="000000"/>
                    </a:solidFill>
                    <a:latin typeface="+mn-lt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DecisionMaker!$FD$31:$FD$42</c:f>
              <c:numCache>
                <c:formatCode>#,##0</c:formatCode>
                <c:ptCount val="12"/>
                <c:pt idx="0">
                  <c:v>4.0000000000000001E-3</c:v>
                </c:pt>
                <c:pt idx="1">
                  <c:v>87.009</c:v>
                </c:pt>
                <c:pt idx="2">
                  <c:v>89.012</c:v>
                </c:pt>
                <c:pt idx="3">
                  <c:v>143.01</c:v>
                </c:pt>
                <c:pt idx="4">
                  <c:v>147.001</c:v>
                </c:pt>
                <c:pt idx="5">
                  <c:v>154.00299999999999</c:v>
                </c:pt>
                <c:pt idx="6">
                  <c:v>157.00200000000001</c:v>
                </c:pt>
                <c:pt idx="7">
                  <c:v>160.006</c:v>
                </c:pt>
                <c:pt idx="8">
                  <c:v>182.005</c:v>
                </c:pt>
                <c:pt idx="9">
                  <c:v>196.00700000000001</c:v>
                </c:pt>
                <c:pt idx="10">
                  <c:v>210.00800000000001</c:v>
                </c:pt>
                <c:pt idx="11">
                  <c:v>221.011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7-43EE-BC1C-E71C51698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9173104"/>
        <c:axId val="109168304"/>
      </c:barChart>
      <c:catAx>
        <c:axId val="109173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168304"/>
        <c:crosses val="autoZero"/>
        <c:auto val="1"/>
        <c:lblAlgn val="ctr"/>
        <c:lblOffset val="100"/>
        <c:noMultiLvlLbl val="0"/>
      </c:catAx>
      <c:valAx>
        <c:axId val="109168304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109173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DecisionMaker!$FE$30</c:f>
              <c:strCache>
                <c:ptCount val="1"/>
                <c:pt idx="0">
                  <c:v>✮✮✮✮✮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0">
              <a:solidFill>
                <a:schemeClr val="bg1"/>
              </a:solidFill>
              <a:prstDash val="solid"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 w="0">
                <a:solidFill>
                  <a:schemeClr val="bg1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278B-41DB-BABC-8C83E840095F}"/>
              </c:ext>
            </c:extLst>
          </c:dPt>
          <c:val>
            <c:numRef>
              <c:f>DecisionMaker!$FE$31:$FE$42</c:f>
              <c:numCache>
                <c:formatCode>#,##0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8B-41DB-BABC-8C83E840095F}"/>
            </c:ext>
          </c:extLst>
        </c:ser>
        <c:ser>
          <c:idx val="1"/>
          <c:order val="1"/>
          <c:tx>
            <c:strRef>
              <c:f>DecisionMaker!$FF$30</c:f>
              <c:strCache>
                <c:ptCount val="1"/>
                <c:pt idx="0">
                  <c:v>✮✮✮✮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0">
              <a:solidFill>
                <a:schemeClr val="bg1"/>
              </a:solidFill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 w="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278B-41DB-BABC-8C83E840095F}"/>
              </c:ext>
            </c:extLst>
          </c:dPt>
          <c:val>
            <c:numRef>
              <c:f>DecisionMaker!$FF$31:$FF$42</c:f>
              <c:numCache>
                <c:formatCode>#,##0</c:formatCode>
                <c:ptCount val="12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4</c:v>
                </c:pt>
                <c:pt idx="6">
                  <c:v>1</c:v>
                </c:pt>
                <c:pt idx="7">
                  <c:v>1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278B-41DB-BABC-8C83E840095F}"/>
            </c:ext>
          </c:extLst>
        </c:ser>
        <c:ser>
          <c:idx val="2"/>
          <c:order val="2"/>
          <c:tx>
            <c:strRef>
              <c:f>DecisionMaker!$FG$30</c:f>
              <c:strCache>
                <c:ptCount val="1"/>
                <c:pt idx="0">
                  <c:v>✮✮✮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0">
              <a:solidFill>
                <a:schemeClr val="bg1"/>
              </a:solidFill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78B-41DB-BABC-8C83E840095F}"/>
              </c:ext>
            </c:extLst>
          </c:dPt>
          <c:dPt>
            <c:idx val="1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278B-41DB-BABC-8C83E840095F}"/>
              </c:ext>
            </c:extLst>
          </c:dPt>
          <c:val>
            <c:numRef>
              <c:f>DecisionMaker!$FG$31:$FG$42</c:f>
              <c:numCache>
                <c:formatCode>#,##0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4</c:v>
                </c:pt>
                <c:pt idx="8">
                  <c:v>4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278B-41DB-BABC-8C83E840095F}"/>
            </c:ext>
          </c:extLst>
        </c:ser>
        <c:ser>
          <c:idx val="3"/>
          <c:order val="3"/>
          <c:tx>
            <c:strRef>
              <c:f>DecisionMaker!$FH$30</c:f>
              <c:strCache>
                <c:ptCount val="1"/>
                <c:pt idx="0">
                  <c:v>✮✮</c:v>
                </c:pt>
              </c:strCache>
            </c:strRef>
          </c:tx>
          <c:spPr>
            <a:solidFill>
              <a:srgbClr val="E8E8E8"/>
            </a:solidFill>
            <a:ln w="0">
              <a:solidFill>
                <a:schemeClr val="bg1"/>
              </a:solidFill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E8E8E8"/>
              </a:solidFill>
              <a:ln w="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E-278B-41DB-BABC-8C83E840095F}"/>
              </c:ext>
            </c:extLst>
          </c:dPt>
          <c:val>
            <c:numRef>
              <c:f>DecisionMaker!$FH$31:$FH$42</c:f>
              <c:numCache>
                <c:formatCode>#,##0</c:formatCode>
                <c:ptCount val="12"/>
                <c:pt idx="0">
                  <c:v>4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3</c:v>
                </c:pt>
                <c:pt idx="8">
                  <c:v>1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278B-41DB-BABC-8C83E840095F}"/>
            </c:ext>
          </c:extLst>
        </c:ser>
        <c:ser>
          <c:idx val="4"/>
          <c:order val="4"/>
          <c:tx>
            <c:strRef>
              <c:f>DecisionMaker!$FI$30</c:f>
              <c:strCache>
                <c:ptCount val="1"/>
                <c:pt idx="0">
                  <c:v>✮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0">
              <a:solidFill>
                <a:schemeClr val="bg1"/>
              </a:solidFill>
              <a:prstDash val="sysDot"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 w="0">
                <a:solidFill>
                  <a:schemeClr val="bg1"/>
                </a:solidFill>
                <a:prstDash val="sysDot"/>
              </a:ln>
              <a:effectLst/>
            </c:spPr>
            <c:extLst>
              <c:ext xmlns:c16="http://schemas.microsoft.com/office/drawing/2014/chart" uri="{C3380CC4-5D6E-409C-BE32-E72D297353CC}">
                <c16:uniqueId val="{0000000B-01F8-47B9-BE54-31CACF5C00ED}"/>
              </c:ext>
            </c:extLst>
          </c:dPt>
          <c:val>
            <c:numRef>
              <c:f>DecisionMaker!$FI$31:$FI$42</c:f>
              <c:numCache>
                <c:formatCode>#,##0</c:formatCode>
                <c:ptCount val="12"/>
                <c:pt idx="0">
                  <c:v>6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F8-47B9-BE54-31CACF5C0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346819999"/>
        <c:axId val="1346820959"/>
      </c:barChart>
      <c:catAx>
        <c:axId val="1346819999"/>
        <c:scaling>
          <c:orientation val="minMax"/>
        </c:scaling>
        <c:delete val="1"/>
        <c:axPos val="l"/>
        <c:majorTickMark val="out"/>
        <c:minorTickMark val="none"/>
        <c:tickLblPos val="nextTo"/>
        <c:crossAx val="1346820959"/>
        <c:crosses val="autoZero"/>
        <c:auto val="1"/>
        <c:lblAlgn val="ctr"/>
        <c:lblOffset val="100"/>
        <c:noMultiLvlLbl val="0"/>
      </c:catAx>
      <c:valAx>
        <c:axId val="1346820959"/>
        <c:scaling>
          <c:orientation val="minMax"/>
          <c:max val="10"/>
        </c:scaling>
        <c:delete val="1"/>
        <c:axPos val="b"/>
        <c:numFmt formatCode="#,##0" sourceLinked="1"/>
        <c:majorTickMark val="out"/>
        <c:minorTickMark val="none"/>
        <c:tickLblPos val="nextTo"/>
        <c:crossAx val="1346819999"/>
        <c:crosses val="autoZero"/>
        <c:crossBetween val="between"/>
      </c:valAx>
      <c:spPr>
        <a:noFill/>
        <a:ln w="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0" cap="flat" cmpd="sng" algn="ctr">
      <a:noFill/>
      <a:round/>
    </a:ln>
    <a:effectLst/>
  </c:spPr>
  <c:txPr>
    <a:bodyPr/>
    <a:lstStyle/>
    <a:p>
      <a:pPr>
        <a:defRPr sz="9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chart" Target="../charts/chart2.xml"/><Relationship Id="rId7" Type="http://schemas.openxmlformats.org/officeDocument/2006/relationships/image" Target="../media/image5.png"/><Relationship Id="rId12" Type="http://schemas.openxmlformats.org/officeDocument/2006/relationships/image" Target="../media/image9.emf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5" Type="http://schemas.openxmlformats.org/officeDocument/2006/relationships/image" Target="../media/image3.png"/><Relationship Id="rId10" Type="http://schemas.openxmlformats.org/officeDocument/2006/relationships/image" Target="../media/image7.emf"/><Relationship Id="rId4" Type="http://schemas.openxmlformats.org/officeDocument/2006/relationships/image" Target="../media/image2.png"/><Relationship Id="rId9" Type="http://schemas.openxmlformats.org/officeDocument/2006/relationships/hyperlink" Target="https://excelmodels.com/checkout/?add-to-cart=7464&amp;coupon=SAVE20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16998</xdr:colOff>
      <xdr:row>2</xdr:row>
      <xdr:rowOff>73274</xdr:rowOff>
    </xdr:from>
    <xdr:to>
      <xdr:col>5</xdr:col>
      <xdr:colOff>807720</xdr:colOff>
      <xdr:row>5</xdr:row>
      <xdr:rowOff>99097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E31E04-CF37-4642-B634-BE9FE798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518" y="385694"/>
          <a:ext cx="4189242" cy="574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61</xdr:col>
      <xdr:colOff>69459</xdr:colOff>
      <xdr:row>8</xdr:row>
      <xdr:rowOff>202472</xdr:rowOff>
    </xdr:from>
    <xdr:to>
      <xdr:col>63</xdr:col>
      <xdr:colOff>15784</xdr:colOff>
      <xdr:row>21</xdr:row>
      <xdr:rowOff>38100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C7ED5637-CA23-406C-8573-43B031535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63</xdr:col>
      <xdr:colOff>148384</xdr:colOff>
      <xdr:row>9</xdr:row>
      <xdr:rowOff>4762</xdr:rowOff>
    </xdr:from>
    <xdr:to>
      <xdr:col>69</xdr:col>
      <xdr:colOff>15796</xdr:colOff>
      <xdr:row>21</xdr:row>
      <xdr:rowOff>7620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FC20E8CB-F4E0-45E3-9C0F-CC84E71F9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414418</xdr:colOff>
      <xdr:row>26</xdr:row>
      <xdr:rowOff>26099</xdr:rowOff>
    </xdr:from>
    <xdr:to>
      <xdr:col>3</xdr:col>
      <xdr:colOff>597298</xdr:colOff>
      <xdr:row>27</xdr:row>
      <xdr:rowOff>26099</xdr:rowOff>
    </xdr:to>
    <xdr:grpSp>
      <xdr:nvGrpSpPr>
        <xdr:cNvPr id="84" name="Group 83">
          <a:extLst>
            <a:ext uri="{FF2B5EF4-FFF2-40B4-BE49-F238E27FC236}">
              <a16:creationId xmlns:a16="http://schemas.microsoft.com/office/drawing/2014/main" id="{80AD5644-C7D6-B936-C35D-2C688E8AEF3D}"/>
            </a:ext>
          </a:extLst>
        </xdr:cNvPr>
        <xdr:cNvGrpSpPr>
          <a:grpSpLocks noChangeAspect="1"/>
        </xdr:cNvGrpSpPr>
      </xdr:nvGrpSpPr>
      <xdr:grpSpPr>
        <a:xfrm>
          <a:off x="2136538" y="4796219"/>
          <a:ext cx="182880" cy="182880"/>
          <a:chOff x="2367778" y="1984847"/>
          <a:chExt cx="201168" cy="199256"/>
        </a:xfrm>
      </xdr:grpSpPr>
      <xdr:sp macro="" textlink="">
        <xdr:nvSpPr>
          <xdr:cNvPr id="85" name="Oval 84">
            <a:extLst>
              <a:ext uri="{FF2B5EF4-FFF2-40B4-BE49-F238E27FC236}">
                <a16:creationId xmlns:a16="http://schemas.microsoft.com/office/drawing/2014/main" id="{4058ED8D-8B44-7B2E-F2C8-3F7D890EE2BF}"/>
              </a:ext>
            </a:extLst>
          </xdr:cNvPr>
          <xdr:cNvSpPr>
            <a:spLocks noChangeAspect="1"/>
          </xdr:cNvSpPr>
        </xdr:nvSpPr>
        <xdr:spPr bwMode="auto">
          <a:xfrm>
            <a:off x="2367778" y="1984847"/>
            <a:ext cx="201168" cy="199256"/>
          </a:xfrm>
          <a:prstGeom prst="ellipse">
            <a:avLst/>
          </a:prstGeom>
          <a:solidFill>
            <a:srgbClr val="E5ECF5"/>
          </a:solidFill>
          <a:ln w="317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none" lIns="0" tIns="0" rIns="0" bIns="0" rtlCol="0" anchor="ctr" upright="1"/>
          <a:lstStyle/>
          <a:p>
            <a:pPr marL="0" indent="0" algn="ctr"/>
            <a:endParaRPr lang="en-US" sz="1200" b="0">
              <a:solidFill>
                <a:sysClr val="windowText" lastClr="000000"/>
              </a:solidFill>
              <a:latin typeface="+mn-lt"/>
              <a:ea typeface="+mn-ea"/>
              <a:cs typeface="Segoe UI Semibold" panose="020B0702040204020203" pitchFamily="34" charset="0"/>
            </a:endParaRPr>
          </a:p>
        </xdr:txBody>
      </xdr:sp>
      <xdr:pic>
        <xdr:nvPicPr>
          <xdr:cNvPr id="86" name="Picture 85">
            <a:extLst>
              <a:ext uri="{FF2B5EF4-FFF2-40B4-BE49-F238E27FC236}">
                <a16:creationId xmlns:a16="http://schemas.microsoft.com/office/drawing/2014/main" id="{C4E0D9B4-B741-5FFA-43FA-B09404C4D8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414687" y="2031551"/>
            <a:ext cx="103031" cy="114919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89888</xdr:colOff>
      <xdr:row>12</xdr:row>
      <xdr:rowOff>149214</xdr:rowOff>
    </xdr:from>
    <xdr:to>
      <xdr:col>2</xdr:col>
      <xdr:colOff>272768</xdr:colOff>
      <xdr:row>13</xdr:row>
      <xdr:rowOff>111114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C72CB356-2336-DE3B-B01C-DA66858C7B21}"/>
            </a:ext>
          </a:extLst>
        </xdr:cNvPr>
        <xdr:cNvGrpSpPr>
          <a:grpSpLocks noChangeAspect="1"/>
        </xdr:cNvGrpSpPr>
      </xdr:nvGrpSpPr>
      <xdr:grpSpPr>
        <a:xfrm>
          <a:off x="440408" y="2320914"/>
          <a:ext cx="182880" cy="182880"/>
          <a:chOff x="2367778" y="1314108"/>
          <a:chExt cx="201168" cy="199329"/>
        </a:xfrm>
      </xdr:grpSpPr>
      <xdr:sp macro="" textlink="">
        <xdr:nvSpPr>
          <xdr:cNvPr id="38" name="Oval 37">
            <a:extLst>
              <a:ext uri="{FF2B5EF4-FFF2-40B4-BE49-F238E27FC236}">
                <a16:creationId xmlns:a16="http://schemas.microsoft.com/office/drawing/2014/main" id="{66679268-9142-FC59-FE92-CD4EDFA63344}"/>
              </a:ext>
            </a:extLst>
          </xdr:cNvPr>
          <xdr:cNvSpPr>
            <a:spLocks noChangeAspect="1"/>
          </xdr:cNvSpPr>
        </xdr:nvSpPr>
        <xdr:spPr bwMode="auto">
          <a:xfrm>
            <a:off x="2367778" y="1314108"/>
            <a:ext cx="201168" cy="199329"/>
          </a:xfrm>
          <a:prstGeom prst="ellipse">
            <a:avLst/>
          </a:prstGeom>
          <a:solidFill>
            <a:srgbClr val="FFFFD9"/>
          </a:solidFill>
          <a:ln w="317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none" lIns="0" tIns="0" rIns="0" bIns="0" rtlCol="0" anchor="ctr" upright="1"/>
          <a:lstStyle/>
          <a:p>
            <a:pPr marL="0" indent="0" algn="ctr"/>
            <a:endParaRPr lang="en-US" sz="1200" b="0">
              <a:solidFill>
                <a:sysClr val="windowText" lastClr="000000"/>
              </a:solidFill>
              <a:latin typeface="+mn-lt"/>
              <a:ea typeface="+mn-ea"/>
              <a:cs typeface="Segoe UI Semibold" panose="020B0702040204020203" pitchFamily="34" charset="0"/>
            </a:endParaRPr>
          </a:p>
        </xdr:txBody>
      </xdr:sp>
      <xdr:pic>
        <xdr:nvPicPr>
          <xdr:cNvPr id="39" name="Picture 38">
            <a:extLst>
              <a:ext uri="{FF2B5EF4-FFF2-40B4-BE49-F238E27FC236}">
                <a16:creationId xmlns:a16="http://schemas.microsoft.com/office/drawing/2014/main" id="{4B41751D-9357-6FE4-5E10-1008931922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424909" y="1363041"/>
            <a:ext cx="93124" cy="108975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1160689</xdr:colOff>
      <xdr:row>11</xdr:row>
      <xdr:rowOff>105216</xdr:rowOff>
    </xdr:from>
    <xdr:to>
      <xdr:col>2</xdr:col>
      <xdr:colOff>1343569</xdr:colOff>
      <xdr:row>12</xdr:row>
      <xdr:rowOff>97596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B144EF31-161F-4073-650B-9A1A6C46E9CF}"/>
            </a:ext>
          </a:extLst>
        </xdr:cNvPr>
        <xdr:cNvGrpSpPr>
          <a:grpSpLocks noChangeAspect="1"/>
        </xdr:cNvGrpSpPr>
      </xdr:nvGrpSpPr>
      <xdr:grpSpPr>
        <a:xfrm>
          <a:off x="1511209" y="2086416"/>
          <a:ext cx="182880" cy="182880"/>
          <a:chOff x="2367778" y="1545177"/>
          <a:chExt cx="201168" cy="199257"/>
        </a:xfrm>
      </xdr:grpSpPr>
      <xdr:sp macro="" textlink="">
        <xdr:nvSpPr>
          <xdr:cNvPr id="42" name="Oval 41">
            <a:extLst>
              <a:ext uri="{FF2B5EF4-FFF2-40B4-BE49-F238E27FC236}">
                <a16:creationId xmlns:a16="http://schemas.microsoft.com/office/drawing/2014/main" id="{D8A9AF63-07D7-F4CD-EB2E-0F7CABC45B13}"/>
              </a:ext>
            </a:extLst>
          </xdr:cNvPr>
          <xdr:cNvSpPr>
            <a:spLocks noChangeAspect="1"/>
          </xdr:cNvSpPr>
        </xdr:nvSpPr>
        <xdr:spPr bwMode="auto">
          <a:xfrm>
            <a:off x="2367778" y="1545177"/>
            <a:ext cx="201168" cy="199257"/>
          </a:xfrm>
          <a:prstGeom prst="ellipse">
            <a:avLst/>
          </a:prstGeom>
          <a:solidFill>
            <a:schemeClr val="accent6">
              <a:lumMod val="20000"/>
              <a:lumOff val="80000"/>
            </a:schemeClr>
          </a:solidFill>
          <a:ln w="317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none" lIns="0" tIns="0" rIns="0" bIns="0" rtlCol="0" anchor="ctr" upright="1"/>
          <a:lstStyle/>
          <a:p>
            <a:pPr marL="0" indent="0" algn="ctr"/>
            <a:endParaRPr lang="en-US" sz="1200" b="0">
              <a:solidFill>
                <a:sysClr val="windowText" lastClr="000000"/>
              </a:solidFill>
              <a:latin typeface="+mn-lt"/>
              <a:ea typeface="+mn-ea"/>
              <a:cs typeface="Segoe UI Semibold" panose="020B0702040204020203" pitchFamily="34" charset="0"/>
            </a:endParaRPr>
          </a:p>
        </xdr:txBody>
      </xdr:sp>
      <xdr:pic>
        <xdr:nvPicPr>
          <xdr:cNvPr id="43" name="Picture 42">
            <a:extLst>
              <a:ext uri="{FF2B5EF4-FFF2-40B4-BE49-F238E27FC236}">
                <a16:creationId xmlns:a16="http://schemas.microsoft.com/office/drawing/2014/main" id="{EA6A2322-75A1-EE0E-541C-99F11E335A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413709" y="1583753"/>
            <a:ext cx="101050" cy="122845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1160689</xdr:colOff>
      <xdr:row>12</xdr:row>
      <xdr:rowOff>149214</xdr:rowOff>
    </xdr:from>
    <xdr:to>
      <xdr:col>2</xdr:col>
      <xdr:colOff>1343569</xdr:colOff>
      <xdr:row>13</xdr:row>
      <xdr:rowOff>111114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322F3D06-1B56-41A3-0FEF-6D9D3A22F199}"/>
            </a:ext>
          </a:extLst>
        </xdr:cNvPr>
        <xdr:cNvGrpSpPr>
          <a:grpSpLocks noChangeAspect="1"/>
        </xdr:cNvGrpSpPr>
      </xdr:nvGrpSpPr>
      <xdr:grpSpPr>
        <a:xfrm>
          <a:off x="1511209" y="2320914"/>
          <a:ext cx="182880" cy="182880"/>
          <a:chOff x="2367778" y="1765968"/>
          <a:chExt cx="201168" cy="197343"/>
        </a:xfrm>
      </xdr:grpSpPr>
      <xdr:sp macro="" textlink="">
        <xdr:nvSpPr>
          <xdr:cNvPr id="52" name="Oval 51">
            <a:extLst>
              <a:ext uri="{FF2B5EF4-FFF2-40B4-BE49-F238E27FC236}">
                <a16:creationId xmlns:a16="http://schemas.microsoft.com/office/drawing/2014/main" id="{865BB00B-1F8E-C0C2-24F9-69ABDC5E96D7}"/>
              </a:ext>
            </a:extLst>
          </xdr:cNvPr>
          <xdr:cNvSpPr>
            <a:spLocks noChangeAspect="1"/>
          </xdr:cNvSpPr>
        </xdr:nvSpPr>
        <xdr:spPr bwMode="auto">
          <a:xfrm>
            <a:off x="2367778" y="1765968"/>
            <a:ext cx="201168" cy="197343"/>
          </a:xfrm>
          <a:prstGeom prst="ellipse">
            <a:avLst/>
          </a:prstGeom>
          <a:solidFill>
            <a:srgbClr val="F1F9EF"/>
          </a:solidFill>
          <a:ln w="317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none" lIns="0" tIns="0" rIns="0" bIns="0" rtlCol="0" anchor="ctr" upright="1"/>
          <a:lstStyle/>
          <a:p>
            <a:pPr marL="0" indent="0" algn="ctr"/>
            <a:endParaRPr lang="en-US" sz="1200" b="0">
              <a:solidFill>
                <a:sysClr val="windowText" lastClr="000000"/>
              </a:solidFill>
              <a:latin typeface="+mn-lt"/>
              <a:ea typeface="+mn-ea"/>
              <a:cs typeface="Segoe UI Semibold" panose="020B0702040204020203" pitchFamily="34" charset="0"/>
            </a:endParaRPr>
          </a:p>
        </xdr:txBody>
      </xdr:sp>
      <xdr:pic>
        <xdr:nvPicPr>
          <xdr:cNvPr id="53" name="Picture 52">
            <a:extLst>
              <a:ext uri="{FF2B5EF4-FFF2-40B4-BE49-F238E27FC236}">
                <a16:creationId xmlns:a16="http://schemas.microsoft.com/office/drawing/2014/main" id="{E7EA2F3E-F9E0-667D-0ACF-E1D4747668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2423995" y="1804124"/>
            <a:ext cx="93124" cy="124827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76200</xdr:colOff>
      <xdr:row>2</xdr:row>
      <xdr:rowOff>91440</xdr:rowOff>
    </xdr:from>
    <xdr:to>
      <xdr:col>9</xdr:col>
      <xdr:colOff>510540</xdr:colOff>
      <xdr:row>6</xdr:row>
      <xdr:rowOff>126893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23F16CA-822D-4293-A781-720EC308E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38700" y="403860"/>
          <a:ext cx="3474720" cy="766973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533400</xdr:colOff>
      <xdr:row>4</xdr:row>
      <xdr:rowOff>114300</xdr:rowOff>
    </xdr:from>
    <xdr:to>
      <xdr:col>13</xdr:col>
      <xdr:colOff>38100</xdr:colOff>
      <xdr:row>5</xdr:row>
      <xdr:rowOff>129540</xdr:rowOff>
    </xdr:to>
    <xdr:pic>
      <xdr:nvPicPr>
        <xdr:cNvPr id="3" name="Picture 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F73CE13-C500-4074-81B2-79B60781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248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7619</xdr:colOff>
      <xdr:row>9</xdr:row>
      <xdr:rowOff>106680</xdr:rowOff>
    </xdr:from>
    <xdr:to>
      <xdr:col>4</xdr:col>
      <xdr:colOff>988682</xdr:colOff>
      <xdr:row>10</xdr:row>
      <xdr:rowOff>46671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8CB9E8-BDBF-4251-A82B-5BC226885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58139" y="1699260"/>
          <a:ext cx="3366123" cy="138111"/>
        </a:xfrm>
        <a:prstGeom prst="rect">
          <a:avLst/>
        </a:prstGeom>
      </xdr:spPr>
    </xdr:pic>
    <xdr:clientData/>
  </xdr:twoCellAnchor>
  <xdr:twoCellAnchor editAs="oneCell">
    <xdr:from>
      <xdr:col>71</xdr:col>
      <xdr:colOff>7620</xdr:colOff>
      <xdr:row>3</xdr:row>
      <xdr:rowOff>129540</xdr:rowOff>
    </xdr:from>
    <xdr:to>
      <xdr:col>72</xdr:col>
      <xdr:colOff>746760</xdr:colOff>
      <xdr:row>4</xdr:row>
      <xdr:rowOff>144780</xdr:rowOff>
    </xdr:to>
    <xdr:pic>
      <xdr:nvPicPr>
        <xdr:cNvPr id="6" name="Pictur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01C74F5-70E0-45B9-80B6-E2C93C97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76960" y="62484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69</xdr:col>
      <xdr:colOff>378338</xdr:colOff>
      <xdr:row>21</xdr:row>
      <xdr:rowOff>53340</xdr:rowOff>
    </xdr:from>
    <xdr:to>
      <xdr:col>73</xdr:col>
      <xdr:colOff>38100</xdr:colOff>
      <xdr:row>27</xdr:row>
      <xdr:rowOff>22977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C46B992-4D23-4C80-8B4C-D8DCE891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05518" y="3909060"/>
          <a:ext cx="3324982" cy="1066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12E5E-033C-401D-9198-82DBCB152A8E}">
  <sheetPr codeName="Sheet1">
    <pageSetUpPr fitToPage="1"/>
  </sheetPr>
  <dimension ref="A1:FQ156"/>
  <sheetViews>
    <sheetView showGridLines="0" showRowColHeaders="0" tabSelected="1" zoomScaleNormal="100" zoomScaleSheetLayoutView="100" workbookViewId="0"/>
  </sheetViews>
  <sheetFormatPr defaultColWidth="9.109375" defaultRowHeight="14.4" x14ac:dyDescent="0.3"/>
  <cols>
    <col min="1" max="1" width="3" style="6" customWidth="1"/>
    <col min="2" max="2" width="2.109375" style="6" customWidth="1"/>
    <col min="3" max="3" width="20" style="6" customWidth="1"/>
    <col min="4" max="13" width="14.77734375" style="6" customWidth="1"/>
    <col min="14" max="36" width="9.109375" style="2" customWidth="1"/>
    <col min="37" max="37" width="26.5546875" style="2" bestFit="1" customWidth="1"/>
    <col min="38" max="60" width="9.109375" style="2" customWidth="1"/>
    <col min="61" max="61" width="20.5546875" style="2" customWidth="1"/>
    <col min="62" max="62" width="2.21875" style="12" customWidth="1"/>
    <col min="63" max="63" width="35.77734375" style="2" customWidth="1"/>
    <col min="64" max="64" width="2.21875" style="12" customWidth="1"/>
    <col min="65" max="69" width="9.44140625" style="2" customWidth="1"/>
    <col min="70" max="70" width="7" style="2" customWidth="1"/>
    <col min="71" max="71" width="22.77734375" style="2" customWidth="1"/>
    <col min="72" max="72" width="11.5546875" style="2" customWidth="1"/>
    <col min="73" max="73" width="12.109375" style="2" customWidth="1"/>
    <col min="74" max="134" width="9.109375" style="2"/>
    <col min="135" max="135" width="9.88671875" style="2" bestFit="1" customWidth="1"/>
    <col min="136" max="172" width="0.109375" style="31" customWidth="1"/>
    <col min="173" max="173" width="2.44140625" style="29" customWidth="1"/>
    <col min="174" max="16384" width="9.109375" style="2"/>
  </cols>
  <sheetData>
    <row r="1" spans="1:173" s="1" customFormat="1" ht="10.199999999999999" x14ac:dyDescent="0.2">
      <c r="A1" s="107" t="s">
        <v>3</v>
      </c>
      <c r="D1" s="44"/>
      <c r="F1" s="45"/>
      <c r="G1" s="45"/>
      <c r="H1" s="45"/>
      <c r="I1" s="45"/>
      <c r="J1" s="45"/>
      <c r="K1" s="45"/>
      <c r="L1" s="45"/>
      <c r="M1" s="45"/>
      <c r="BJ1" s="17"/>
      <c r="BL1" s="17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29"/>
    </row>
    <row r="2" spans="1:173" s="9" customFormat="1" x14ac:dyDescent="0.3">
      <c r="B2" s="46"/>
      <c r="D2" s="47"/>
      <c r="BI2" s="7"/>
      <c r="BJ2" s="16"/>
      <c r="BK2" s="7"/>
      <c r="BL2" s="16"/>
      <c r="BM2" s="7"/>
      <c r="BS2" s="6"/>
      <c r="BT2" s="7"/>
      <c r="BU2" s="7"/>
      <c r="EE2" s="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0"/>
    </row>
    <row r="3" spans="1:173" x14ac:dyDescent="0.3">
      <c r="A3" s="7"/>
      <c r="B3" s="7"/>
      <c r="D3" s="7"/>
      <c r="BI3" s="7"/>
      <c r="BJ3" s="16"/>
      <c r="BK3" s="7"/>
      <c r="BL3" s="16"/>
      <c r="BM3" s="7"/>
      <c r="BS3" s="6"/>
      <c r="BT3" s="7"/>
      <c r="BU3" s="7"/>
    </row>
    <row r="4" spans="1:173" ht="14.4" customHeight="1" x14ac:dyDescent="0.6">
      <c r="A4" s="7"/>
      <c r="B4" s="7"/>
      <c r="C4" s="51"/>
      <c r="F4" s="2"/>
      <c r="G4" s="2"/>
      <c r="H4" s="2"/>
      <c r="I4" s="2"/>
      <c r="J4" s="2"/>
      <c r="K4" s="2"/>
      <c r="L4" s="102"/>
      <c r="M4" s="102"/>
      <c r="BI4" s="126" t="str">
        <f>"The Decision … "&amp;FC42&amp;" !"</f>
        <v>The Decision … Cal !</v>
      </c>
      <c r="BJ4" s="126"/>
      <c r="BK4" s="126"/>
      <c r="BL4" s="48"/>
      <c r="BM4" s="48"/>
      <c r="BN4" s="48"/>
      <c r="BO4" s="48"/>
      <c r="BP4" s="48"/>
      <c r="BQ4" s="48"/>
      <c r="BR4" s="48"/>
      <c r="BS4" s="48"/>
      <c r="BT4" s="48"/>
      <c r="BU4" s="101"/>
      <c r="EE4" s="12"/>
    </row>
    <row r="5" spans="1:173" ht="14.4" customHeight="1" x14ac:dyDescent="0.6">
      <c r="A5" s="7"/>
      <c r="C5" s="55"/>
      <c r="F5" s="2"/>
      <c r="K5" s="2"/>
      <c r="M5" s="2"/>
      <c r="N5" s="21"/>
      <c r="O5" s="21"/>
      <c r="P5" s="21"/>
      <c r="BI5" s="126"/>
      <c r="BJ5" s="126"/>
      <c r="BK5" s="126"/>
      <c r="BL5" s="48"/>
      <c r="BM5" s="48"/>
      <c r="BN5" s="48"/>
      <c r="BO5" s="48"/>
      <c r="BP5" s="48"/>
      <c r="BQ5" s="48"/>
      <c r="BR5" s="48"/>
      <c r="BS5" s="48"/>
      <c r="BT5" s="48"/>
      <c r="BU5" s="48"/>
      <c r="EE5" s="12"/>
    </row>
    <row r="6" spans="1:173" ht="14.4" customHeight="1" x14ac:dyDescent="0.3">
      <c r="A6" s="7"/>
      <c r="C6" s="57"/>
      <c r="F6" s="58"/>
      <c r="N6" s="21"/>
      <c r="O6" s="21"/>
      <c r="P6" s="21"/>
      <c r="BI6" s="127" t="s">
        <v>42</v>
      </c>
      <c r="BJ6" s="49"/>
      <c r="BK6" s="49"/>
      <c r="BL6" s="50"/>
      <c r="BM6" s="50"/>
      <c r="BS6" s="14"/>
      <c r="BT6" s="16"/>
      <c r="BU6" s="16"/>
      <c r="EE6" s="12"/>
    </row>
    <row r="7" spans="1:173" ht="14.4" customHeight="1" x14ac:dyDescent="0.3">
      <c r="C7" s="57"/>
      <c r="F7" s="58"/>
      <c r="H7" s="94"/>
      <c r="I7" s="94"/>
      <c r="BI7" s="127"/>
      <c r="BJ7" s="52"/>
      <c r="BL7" s="53"/>
      <c r="BM7" s="124" t="s">
        <v>20</v>
      </c>
      <c r="BN7" s="124"/>
      <c r="BO7" s="124"/>
      <c r="BP7" s="124"/>
      <c r="BQ7" s="124"/>
      <c r="BR7" s="54"/>
      <c r="BS7" s="124" t="str">
        <f>"Ratings by Factor - "&amp;BI10</f>
        <v>Ratings by Factor - Cal</v>
      </c>
      <c r="BT7" s="124"/>
      <c r="BU7" s="124"/>
      <c r="EE7" s="12"/>
    </row>
    <row r="8" spans="1:173" ht="14.4" customHeight="1" x14ac:dyDescent="0.3">
      <c r="AM8" s="22"/>
      <c r="BI8" s="125" t="s">
        <v>21</v>
      </c>
      <c r="BJ8" s="52"/>
      <c r="BK8" s="124" t="s">
        <v>4</v>
      </c>
      <c r="BL8" s="56"/>
      <c r="BM8" s="124"/>
      <c r="BN8" s="124"/>
      <c r="BO8" s="124"/>
      <c r="BP8" s="124"/>
      <c r="BQ8" s="124"/>
      <c r="BR8" s="12"/>
      <c r="BS8" s="124"/>
      <c r="BT8" s="124"/>
      <c r="BU8" s="124"/>
      <c r="EE8" s="16"/>
    </row>
    <row r="9" spans="1:173" ht="14.4" customHeight="1" x14ac:dyDescent="0.3">
      <c r="AK9" s="22"/>
      <c r="AM9" s="22"/>
      <c r="BI9" s="125"/>
      <c r="BJ9" s="59"/>
      <c r="BK9" s="124"/>
      <c r="BL9" s="59"/>
      <c r="BM9" s="60" t="s">
        <v>11</v>
      </c>
      <c r="BN9" s="61" t="s">
        <v>12</v>
      </c>
      <c r="BO9" s="62" t="s">
        <v>13</v>
      </c>
      <c r="BP9" s="63" t="s">
        <v>14</v>
      </c>
      <c r="BQ9" s="64" t="s">
        <v>10</v>
      </c>
      <c r="BR9" s="59"/>
      <c r="BS9" s="65" t="s">
        <v>16</v>
      </c>
      <c r="BT9" s="66" t="s">
        <v>5</v>
      </c>
      <c r="BU9" s="66" t="s">
        <v>9</v>
      </c>
      <c r="EE9" s="18"/>
    </row>
    <row r="10" spans="1:173" ht="15.6" customHeight="1" x14ac:dyDescent="0.3">
      <c r="A10" s="2"/>
      <c r="C10" s="57"/>
      <c r="F10" s="58"/>
      <c r="H10" s="94"/>
      <c r="I10" s="94"/>
      <c r="J10" s="96"/>
      <c r="K10" s="96"/>
      <c r="L10" s="96"/>
      <c r="M10" s="96"/>
      <c r="Q10" s="20"/>
      <c r="BI10" s="67" t="str">
        <f>FC42</f>
        <v>Cal</v>
      </c>
      <c r="BJ10" s="68"/>
      <c r="BK10" s="69"/>
      <c r="BL10" s="68"/>
      <c r="BM10" s="68"/>
      <c r="BN10" s="68"/>
      <c r="BO10" s="68"/>
      <c r="BP10" s="68"/>
      <c r="BQ10" s="68"/>
      <c r="BR10" s="68"/>
      <c r="BS10" s="70" t="str">
        <f t="shared" ref="BS10:BS19" si="0">VLOOKUP($FP31,$FK$31:$FO$40,2,FALSE)</f>
        <v>Reputation</v>
      </c>
      <c r="BT10" s="71" t="str">
        <f t="shared" ref="BT10:BT19" si="1">VLOOKUP($FP31,$FK$31:$FO$40,3,FALSE)</f>
        <v>High</v>
      </c>
      <c r="BU10" s="72" t="str">
        <f t="shared" ref="BU10:BU19" si="2">VLOOKUP($FP31,$FK$31:$FO$40,4,FALSE)</f>
        <v>✮✮✮✮✮</v>
      </c>
      <c r="EE10" s="12"/>
    </row>
    <row r="11" spans="1:173" ht="15" x14ac:dyDescent="0.3">
      <c r="A11" s="2"/>
      <c r="G11" s="95"/>
      <c r="H11" s="95"/>
      <c r="I11" s="95"/>
      <c r="J11" s="95"/>
      <c r="K11" s="95"/>
      <c r="L11" s="94"/>
      <c r="M11" s="94"/>
      <c r="Q11" s="25"/>
      <c r="R11" s="20"/>
      <c r="BI11" s="73" t="str">
        <f>FC41</f>
        <v>Northwestern</v>
      </c>
      <c r="BJ11" s="74"/>
      <c r="BK11" s="75"/>
      <c r="BL11" s="68"/>
      <c r="BM11" s="68"/>
      <c r="BN11" s="68"/>
      <c r="BO11" s="68"/>
      <c r="BP11" s="68"/>
      <c r="BQ11" s="68"/>
      <c r="BR11" s="68"/>
      <c r="BS11" s="76" t="str">
        <f t="shared" si="0"/>
        <v>Campus</v>
      </c>
      <c r="BT11" s="77" t="str">
        <f t="shared" si="1"/>
        <v>High</v>
      </c>
      <c r="BU11" s="78" t="str">
        <f t="shared" si="2"/>
        <v>✮✮✮</v>
      </c>
      <c r="EE11" s="19"/>
    </row>
    <row r="12" spans="1:173" ht="15" customHeight="1" x14ac:dyDescent="0.3">
      <c r="A12" s="81"/>
      <c r="B12" s="7"/>
      <c r="C12" s="9"/>
      <c r="D12" s="120" t="s">
        <v>33</v>
      </c>
      <c r="E12" s="120" t="s">
        <v>46</v>
      </c>
      <c r="F12" s="122" t="s">
        <v>34</v>
      </c>
      <c r="G12" s="122" t="s">
        <v>35</v>
      </c>
      <c r="H12" s="122" t="s">
        <v>36</v>
      </c>
      <c r="I12" s="122" t="s">
        <v>37</v>
      </c>
      <c r="J12" s="122" t="s">
        <v>38</v>
      </c>
      <c r="K12" s="122" t="s">
        <v>40</v>
      </c>
      <c r="L12" s="122" t="s">
        <v>39</v>
      </c>
      <c r="M12" s="122" t="s">
        <v>41</v>
      </c>
      <c r="O12" s="20"/>
      <c r="R12" s="20"/>
      <c r="AK12" s="23" t="s">
        <v>44</v>
      </c>
      <c r="BI12" s="73" t="str">
        <f>FC40</f>
        <v>USC</v>
      </c>
      <c r="BJ12" s="74"/>
      <c r="BK12" s="75"/>
      <c r="BL12" s="68"/>
      <c r="BM12" s="68"/>
      <c r="BN12" s="68"/>
      <c r="BO12" s="68"/>
      <c r="BP12" s="68"/>
      <c r="BQ12" s="68"/>
      <c r="BR12" s="68"/>
      <c r="BS12" s="76" t="str">
        <f t="shared" si="0"/>
        <v>Housing</v>
      </c>
      <c r="BT12" s="79" t="str">
        <f t="shared" si="1"/>
        <v>High</v>
      </c>
      <c r="BU12" s="80" t="str">
        <f t="shared" si="2"/>
        <v>✮✮</v>
      </c>
      <c r="EE12" s="19"/>
    </row>
    <row r="13" spans="1:173" ht="17.399999999999999" customHeight="1" x14ac:dyDescent="0.3">
      <c r="A13" s="2"/>
      <c r="B13" s="2"/>
      <c r="C13" s="2"/>
      <c r="D13" s="121"/>
      <c r="E13" s="121"/>
      <c r="F13" s="123"/>
      <c r="G13" s="123"/>
      <c r="H13" s="123"/>
      <c r="I13" s="123"/>
      <c r="J13" s="123"/>
      <c r="K13" s="123"/>
      <c r="L13" s="123"/>
      <c r="M13" s="123"/>
      <c r="O13" s="25"/>
      <c r="P13" s="20"/>
      <c r="BI13" s="82" t="str">
        <f>FC39</f>
        <v>Michigan</v>
      </c>
      <c r="BJ13" s="74"/>
      <c r="BK13" s="75"/>
      <c r="BL13" s="68"/>
      <c r="BM13" s="68"/>
      <c r="BN13" s="68"/>
      <c r="BO13" s="68"/>
      <c r="BP13" s="68"/>
      <c r="BQ13" s="68"/>
      <c r="BR13" s="68"/>
      <c r="BS13" s="76" t="str">
        <f t="shared" si="0"/>
        <v>Academics</v>
      </c>
      <c r="BT13" s="79" t="str">
        <f t="shared" si="1"/>
        <v>Medium</v>
      </c>
      <c r="BU13" s="80" t="str">
        <f t="shared" si="2"/>
        <v>✮✮✮✮✮</v>
      </c>
      <c r="EE13" s="19"/>
    </row>
    <row r="14" spans="1:173" x14ac:dyDescent="0.3">
      <c r="B14" s="7"/>
      <c r="C14" s="9"/>
      <c r="D14" s="103" t="s">
        <v>17</v>
      </c>
      <c r="E14" s="103" t="s">
        <v>17</v>
      </c>
      <c r="F14" s="109" t="s">
        <v>18</v>
      </c>
      <c r="G14" s="109" t="s">
        <v>18</v>
      </c>
      <c r="H14" s="109" t="s">
        <v>19</v>
      </c>
      <c r="I14" s="109" t="s">
        <v>18</v>
      </c>
      <c r="J14" s="109" t="s">
        <v>19</v>
      </c>
      <c r="K14" s="109" t="s">
        <v>18</v>
      </c>
      <c r="L14" s="109" t="s">
        <v>17</v>
      </c>
      <c r="M14" s="109" t="s">
        <v>18</v>
      </c>
      <c r="N14" s="24"/>
      <c r="P14" s="25"/>
      <c r="Q14" s="27"/>
      <c r="BI14" s="73" t="str">
        <f>FC38</f>
        <v>Florida State</v>
      </c>
      <c r="BJ14" s="74"/>
      <c r="BK14" s="75"/>
      <c r="BL14" s="68"/>
      <c r="BM14" s="68"/>
      <c r="BN14" s="68"/>
      <c r="BO14" s="68"/>
      <c r="BP14" s="68"/>
      <c r="BQ14" s="68"/>
      <c r="BR14" s="68"/>
      <c r="BS14" s="76" t="str">
        <f t="shared" si="0"/>
        <v>Alumni</v>
      </c>
      <c r="BT14" s="79" t="str">
        <f t="shared" si="1"/>
        <v>Medium</v>
      </c>
      <c r="BU14" s="80" t="str">
        <f t="shared" si="2"/>
        <v>✮✮✮✮</v>
      </c>
      <c r="EE14" s="19"/>
    </row>
    <row r="15" spans="1:173" x14ac:dyDescent="0.3">
      <c r="B15" s="83"/>
      <c r="C15" s="105" t="s">
        <v>23</v>
      </c>
      <c r="D15" s="104" t="s">
        <v>12</v>
      </c>
      <c r="E15" s="104" t="s">
        <v>13</v>
      </c>
      <c r="F15" s="110" t="s">
        <v>14</v>
      </c>
      <c r="G15" s="110" t="s">
        <v>13</v>
      </c>
      <c r="H15" s="110" t="s">
        <v>11</v>
      </c>
      <c r="I15" s="110" t="s">
        <v>10</v>
      </c>
      <c r="J15" s="110" t="s">
        <v>14</v>
      </c>
      <c r="K15" s="110" t="s">
        <v>10</v>
      </c>
      <c r="L15" s="110" t="s">
        <v>14</v>
      </c>
      <c r="M15" s="111" t="s">
        <v>14</v>
      </c>
      <c r="Q15" s="97"/>
      <c r="BI15" s="73" t="str">
        <f>FC37</f>
        <v>Oregon</v>
      </c>
      <c r="BJ15" s="74"/>
      <c r="BK15" s="75"/>
      <c r="BL15" s="68"/>
      <c r="BM15" s="68"/>
      <c r="BN15" s="68"/>
      <c r="BO15" s="68"/>
      <c r="BP15" s="68"/>
      <c r="BQ15" s="68"/>
      <c r="BR15" s="68"/>
      <c r="BS15" s="76" t="str">
        <f t="shared" si="0"/>
        <v>Off-campus</v>
      </c>
      <c r="BT15" s="79" t="str">
        <f t="shared" si="1"/>
        <v>Medium</v>
      </c>
      <c r="BU15" s="80" t="str">
        <f t="shared" si="2"/>
        <v>✮✮✮✮</v>
      </c>
      <c r="EE15" s="19"/>
    </row>
    <row r="16" spans="1:173" x14ac:dyDescent="0.3">
      <c r="B16" s="83"/>
      <c r="C16" s="106" t="s">
        <v>22</v>
      </c>
      <c r="D16" s="104" t="s">
        <v>11</v>
      </c>
      <c r="E16" s="104" t="s">
        <v>13</v>
      </c>
      <c r="F16" s="112" t="s">
        <v>11</v>
      </c>
      <c r="G16" s="112" t="s">
        <v>13</v>
      </c>
      <c r="H16" s="112" t="s">
        <v>11</v>
      </c>
      <c r="I16" s="112" t="s">
        <v>13</v>
      </c>
      <c r="J16" s="112" t="s">
        <v>12</v>
      </c>
      <c r="K16" s="112" t="s">
        <v>12</v>
      </c>
      <c r="L16" s="112" t="s">
        <v>14</v>
      </c>
      <c r="M16" s="113" t="s">
        <v>12</v>
      </c>
      <c r="O16" s="27"/>
      <c r="BI16" s="73" t="str">
        <f>FC36</f>
        <v>Penn State</v>
      </c>
      <c r="BJ16" s="74"/>
      <c r="BK16" s="75"/>
      <c r="BL16" s="68"/>
      <c r="BM16" s="68"/>
      <c r="BN16" s="68"/>
      <c r="BO16" s="68"/>
      <c r="BP16" s="68"/>
      <c r="BQ16" s="68"/>
      <c r="BR16" s="68"/>
      <c r="BS16" s="76" t="str">
        <f t="shared" si="0"/>
        <v>Recruiting</v>
      </c>
      <c r="BT16" s="79" t="str">
        <f t="shared" si="1"/>
        <v>Medium</v>
      </c>
      <c r="BU16" s="80" t="str">
        <f t="shared" si="2"/>
        <v>✮✮✮</v>
      </c>
      <c r="EE16" s="19"/>
    </row>
    <row r="17" spans="1:172" x14ac:dyDescent="0.3">
      <c r="B17" s="83"/>
      <c r="C17" s="116" t="s">
        <v>24</v>
      </c>
      <c r="D17" s="117" t="s">
        <v>12</v>
      </c>
      <c r="E17" s="112" t="s">
        <v>12</v>
      </c>
      <c r="F17" s="112" t="s">
        <v>14</v>
      </c>
      <c r="G17" s="112" t="s">
        <v>12</v>
      </c>
      <c r="H17" s="112" t="s">
        <v>10</v>
      </c>
      <c r="I17" s="112" t="s">
        <v>14</v>
      </c>
      <c r="J17" s="112" t="s">
        <v>11</v>
      </c>
      <c r="K17" s="112" t="s">
        <v>13</v>
      </c>
      <c r="L17" s="112" t="s">
        <v>14</v>
      </c>
      <c r="M17" s="113" t="s">
        <v>10</v>
      </c>
      <c r="N17" s="26"/>
      <c r="O17" s="97"/>
      <c r="P17" s="27"/>
      <c r="BI17" s="73" t="str">
        <f>FC35</f>
        <v>Cal Tech</v>
      </c>
      <c r="BJ17" s="74"/>
      <c r="BK17" s="75"/>
      <c r="BL17" s="68"/>
      <c r="BM17" s="68"/>
      <c r="BN17" s="68"/>
      <c r="BO17" s="68"/>
      <c r="BP17" s="68"/>
      <c r="BQ17" s="68"/>
      <c r="BR17" s="68"/>
      <c r="BS17" s="76" t="str">
        <f t="shared" si="0"/>
        <v>Location</v>
      </c>
      <c r="BT17" s="79" t="str">
        <f t="shared" si="1"/>
        <v>Medium</v>
      </c>
      <c r="BU17" s="80" t="str">
        <f t="shared" si="2"/>
        <v>✮✮✮</v>
      </c>
      <c r="EE17" s="19"/>
    </row>
    <row r="18" spans="1:172" x14ac:dyDescent="0.3">
      <c r="B18" s="83"/>
      <c r="C18" s="116" t="s">
        <v>25</v>
      </c>
      <c r="D18" s="117" t="s">
        <v>13</v>
      </c>
      <c r="E18" s="112" t="s">
        <v>14</v>
      </c>
      <c r="F18" s="112" t="s">
        <v>12</v>
      </c>
      <c r="G18" s="112" t="s">
        <v>10</v>
      </c>
      <c r="H18" s="112" t="s">
        <v>11</v>
      </c>
      <c r="I18" s="112" t="s">
        <v>10</v>
      </c>
      <c r="J18" s="112" t="s">
        <v>12</v>
      </c>
      <c r="K18" s="112" t="s">
        <v>12</v>
      </c>
      <c r="L18" s="112" t="s">
        <v>10</v>
      </c>
      <c r="M18" s="113" t="s">
        <v>14</v>
      </c>
      <c r="N18" s="92"/>
      <c r="P18" s="97"/>
      <c r="BI18" s="73" t="str">
        <f>FC34</f>
        <v>Pepperdine</v>
      </c>
      <c r="BJ18" s="74"/>
      <c r="BK18" s="75"/>
      <c r="BL18" s="68"/>
      <c r="BM18" s="68"/>
      <c r="BN18" s="68"/>
      <c r="BO18" s="68"/>
      <c r="BP18" s="68"/>
      <c r="BQ18" s="68"/>
      <c r="BR18" s="68"/>
      <c r="BS18" s="76" t="str">
        <f t="shared" si="0"/>
        <v>Extra-curricular</v>
      </c>
      <c r="BT18" s="79" t="str">
        <f t="shared" si="1"/>
        <v>Low</v>
      </c>
      <c r="BU18" s="80" t="str">
        <f t="shared" si="2"/>
        <v>✮✮✮✮✮</v>
      </c>
      <c r="EE18" s="19"/>
    </row>
    <row r="19" spans="1:172" x14ac:dyDescent="0.3">
      <c r="B19" s="83"/>
      <c r="C19" s="116" t="s">
        <v>26</v>
      </c>
      <c r="D19" s="117" t="s">
        <v>12</v>
      </c>
      <c r="E19" s="112" t="s">
        <v>14</v>
      </c>
      <c r="F19" s="112" t="s">
        <v>12</v>
      </c>
      <c r="G19" s="112" t="s">
        <v>13</v>
      </c>
      <c r="H19" s="112" t="s">
        <v>10</v>
      </c>
      <c r="I19" s="112" t="s">
        <v>12</v>
      </c>
      <c r="J19" s="112" t="s">
        <v>13</v>
      </c>
      <c r="K19" s="112" t="s">
        <v>14</v>
      </c>
      <c r="L19" s="112" t="s">
        <v>11</v>
      </c>
      <c r="M19" s="113" t="s">
        <v>12</v>
      </c>
      <c r="Q19" s="98"/>
      <c r="BI19" s="73" t="str">
        <f>FC33</f>
        <v>UCLA</v>
      </c>
      <c r="BJ19" s="74"/>
      <c r="BK19" s="75"/>
      <c r="BL19" s="68"/>
      <c r="BM19" s="68"/>
      <c r="BN19" s="68"/>
      <c r="BO19" s="68"/>
      <c r="BP19" s="68"/>
      <c r="BQ19" s="68"/>
      <c r="BR19" s="68"/>
      <c r="BS19" s="84" t="str">
        <f t="shared" si="0"/>
        <v>Sports</v>
      </c>
      <c r="BT19" s="85" t="str">
        <f t="shared" si="1"/>
        <v>Low</v>
      </c>
      <c r="BU19" s="86" t="str">
        <f t="shared" si="2"/>
        <v>✮✮✮✮</v>
      </c>
      <c r="EE19" s="19"/>
    </row>
    <row r="20" spans="1:172" x14ac:dyDescent="0.3">
      <c r="B20" s="83"/>
      <c r="C20" s="116" t="s">
        <v>27</v>
      </c>
      <c r="D20" s="117" t="s">
        <v>11</v>
      </c>
      <c r="E20" s="112" t="s">
        <v>10</v>
      </c>
      <c r="F20" s="112" t="s">
        <v>10</v>
      </c>
      <c r="G20" s="112" t="s">
        <v>14</v>
      </c>
      <c r="H20" s="112" t="s">
        <v>14</v>
      </c>
      <c r="I20" s="112" t="s">
        <v>11</v>
      </c>
      <c r="J20" s="112" t="s">
        <v>13</v>
      </c>
      <c r="K20" s="112" t="s">
        <v>12</v>
      </c>
      <c r="L20" s="112" t="s">
        <v>12</v>
      </c>
      <c r="M20" s="113" t="s">
        <v>12</v>
      </c>
      <c r="O20" s="28"/>
      <c r="BI20" s="73" t="str">
        <f>FC32</f>
        <v>Harvard</v>
      </c>
      <c r="BJ20" s="74"/>
      <c r="BK20" s="75"/>
      <c r="BL20" s="68"/>
      <c r="BM20" s="68"/>
      <c r="BN20" s="68"/>
      <c r="BO20" s="68"/>
      <c r="BP20" s="68"/>
      <c r="BQ20" s="68"/>
      <c r="BR20" s="68"/>
      <c r="BS20" s="19"/>
      <c r="BT20" s="19"/>
      <c r="BU20" s="19"/>
      <c r="EE20" s="19"/>
    </row>
    <row r="21" spans="1:172" x14ac:dyDescent="0.3">
      <c r="B21" s="83"/>
      <c r="C21" s="116" t="s">
        <v>28</v>
      </c>
      <c r="D21" s="117" t="s">
        <v>11</v>
      </c>
      <c r="E21" s="112" t="s">
        <v>12</v>
      </c>
      <c r="F21" s="112" t="s">
        <v>13</v>
      </c>
      <c r="G21" s="112" t="s">
        <v>13</v>
      </c>
      <c r="H21" s="112" t="s">
        <v>14</v>
      </c>
      <c r="I21" s="112" t="s">
        <v>13</v>
      </c>
      <c r="J21" s="112" t="s">
        <v>10</v>
      </c>
      <c r="K21" s="112" t="s">
        <v>13</v>
      </c>
      <c r="L21" s="112" t="s">
        <v>14</v>
      </c>
      <c r="M21" s="113" t="s">
        <v>14</v>
      </c>
      <c r="O21" s="98"/>
      <c r="P21" s="28"/>
      <c r="BI21" s="87" t="str">
        <f>FC31</f>
        <v>Stanfurd</v>
      </c>
      <c r="BJ21" s="74"/>
      <c r="BK21" s="88"/>
      <c r="BL21" s="68"/>
      <c r="BM21" s="89"/>
      <c r="BN21" s="89"/>
      <c r="BO21" s="89"/>
      <c r="BP21" s="89"/>
      <c r="BQ21" s="89"/>
      <c r="BR21" s="68"/>
      <c r="BS21" s="19"/>
      <c r="BT21" s="19"/>
      <c r="BU21" s="19"/>
      <c r="EE21" s="19"/>
    </row>
    <row r="22" spans="1:172" x14ac:dyDescent="0.3">
      <c r="A22" s="7"/>
      <c r="B22" s="83"/>
      <c r="C22" s="116" t="s">
        <v>29</v>
      </c>
      <c r="D22" s="117" t="s">
        <v>11</v>
      </c>
      <c r="E22" s="112" t="s">
        <v>12</v>
      </c>
      <c r="F22" s="112" t="s">
        <v>14</v>
      </c>
      <c r="G22" s="112" t="s">
        <v>10</v>
      </c>
      <c r="H22" s="112" t="s">
        <v>13</v>
      </c>
      <c r="I22" s="112" t="s">
        <v>13</v>
      </c>
      <c r="J22" s="112" t="s">
        <v>12</v>
      </c>
      <c r="K22" s="112" t="s">
        <v>12</v>
      </c>
      <c r="L22" s="112" t="s">
        <v>13</v>
      </c>
      <c r="M22" s="113" t="s">
        <v>13</v>
      </c>
      <c r="N22" s="93"/>
      <c r="P22" s="98"/>
      <c r="BI22" s="74"/>
      <c r="BJ22" s="74"/>
      <c r="BK22" s="19"/>
      <c r="BL22" s="19"/>
      <c r="BM22" s="90"/>
      <c r="BN22" s="90"/>
      <c r="BO22" s="90"/>
      <c r="BP22" s="90"/>
      <c r="BQ22" s="90"/>
      <c r="BR22" s="19"/>
      <c r="BS22" s="19"/>
      <c r="BT22" s="19"/>
      <c r="BU22" s="19"/>
      <c r="EE22" s="19"/>
    </row>
    <row r="23" spans="1:172" x14ac:dyDescent="0.3">
      <c r="A23" s="2"/>
      <c r="B23" s="83"/>
      <c r="C23" s="116" t="s">
        <v>43</v>
      </c>
      <c r="D23" s="117" t="s">
        <v>10</v>
      </c>
      <c r="E23" s="112" t="s">
        <v>14</v>
      </c>
      <c r="F23" s="112" t="s">
        <v>10</v>
      </c>
      <c r="G23" s="112" t="s">
        <v>14</v>
      </c>
      <c r="H23" s="112" t="s">
        <v>10</v>
      </c>
      <c r="I23" s="112" t="s">
        <v>10</v>
      </c>
      <c r="J23" s="112" t="s">
        <v>10</v>
      </c>
      <c r="K23" s="112" t="s">
        <v>10</v>
      </c>
      <c r="L23" s="112" t="s">
        <v>14</v>
      </c>
      <c r="M23" s="113" t="s">
        <v>14</v>
      </c>
      <c r="BI23" s="74"/>
      <c r="BJ23" s="74"/>
      <c r="BK23" s="19"/>
      <c r="BL23" s="19"/>
      <c r="BM23" s="90"/>
      <c r="BN23" s="90"/>
      <c r="BO23" s="90"/>
      <c r="BP23" s="90"/>
      <c r="BQ23" s="90"/>
      <c r="BR23" s="19"/>
      <c r="BS23" s="19"/>
      <c r="BT23" s="19"/>
      <c r="BU23" s="19"/>
      <c r="EE23" s="19"/>
    </row>
    <row r="24" spans="1:172" x14ac:dyDescent="0.3">
      <c r="A24" s="2"/>
      <c r="B24" s="83"/>
      <c r="C24" s="116" t="s">
        <v>30</v>
      </c>
      <c r="D24" s="117" t="s">
        <v>10</v>
      </c>
      <c r="E24" s="112" t="s">
        <v>10</v>
      </c>
      <c r="F24" s="112" t="s">
        <v>14</v>
      </c>
      <c r="G24" s="112" t="s">
        <v>12</v>
      </c>
      <c r="H24" s="112" t="s">
        <v>12</v>
      </c>
      <c r="I24" s="112" t="s">
        <v>12</v>
      </c>
      <c r="J24" s="112" t="s">
        <v>10</v>
      </c>
      <c r="K24" s="112" t="s">
        <v>13</v>
      </c>
      <c r="L24" s="112" t="s">
        <v>11</v>
      </c>
      <c r="M24" s="113" t="s">
        <v>12</v>
      </c>
      <c r="BI24" s="12"/>
      <c r="BK24" s="12"/>
      <c r="BM24" s="14"/>
      <c r="BN24" s="12"/>
      <c r="BO24" s="12"/>
      <c r="BP24" s="12"/>
      <c r="BQ24" s="12"/>
      <c r="BR24" s="12"/>
      <c r="BS24" s="12"/>
      <c r="BU24" s="91"/>
      <c r="EE24" s="19"/>
    </row>
    <row r="25" spans="1:172" x14ac:dyDescent="0.3">
      <c r="A25" s="2"/>
      <c r="B25" s="83"/>
      <c r="C25" s="116" t="s">
        <v>31</v>
      </c>
      <c r="D25" s="117" t="s">
        <v>10</v>
      </c>
      <c r="E25" s="112" t="s">
        <v>12</v>
      </c>
      <c r="F25" s="112" t="s">
        <v>14</v>
      </c>
      <c r="G25" s="112" t="s">
        <v>10</v>
      </c>
      <c r="H25" s="112" t="s">
        <v>13</v>
      </c>
      <c r="I25" s="112" t="s">
        <v>10</v>
      </c>
      <c r="J25" s="112" t="s">
        <v>11</v>
      </c>
      <c r="K25" s="112" t="s">
        <v>11</v>
      </c>
      <c r="L25" s="112" t="s">
        <v>11</v>
      </c>
      <c r="M25" s="113" t="s">
        <v>13</v>
      </c>
      <c r="BM25" s="12"/>
      <c r="BN25" s="12"/>
      <c r="BO25" s="12"/>
      <c r="BP25" s="12"/>
      <c r="BQ25" s="12"/>
      <c r="BR25" s="12"/>
      <c r="BS25" s="12"/>
    </row>
    <row r="26" spans="1:172" x14ac:dyDescent="0.3">
      <c r="A26" s="2"/>
      <c r="B26" s="83"/>
      <c r="C26" s="118" t="s">
        <v>32</v>
      </c>
      <c r="D26" s="119" t="s">
        <v>14</v>
      </c>
      <c r="E26" s="114" t="s">
        <v>13</v>
      </c>
      <c r="F26" s="114" t="s">
        <v>14</v>
      </c>
      <c r="G26" s="114" t="s">
        <v>14</v>
      </c>
      <c r="H26" s="114" t="s">
        <v>13</v>
      </c>
      <c r="I26" s="114" t="s">
        <v>12</v>
      </c>
      <c r="J26" s="114" t="s">
        <v>11</v>
      </c>
      <c r="K26" s="114" t="s">
        <v>11</v>
      </c>
      <c r="L26" s="114" t="s">
        <v>10</v>
      </c>
      <c r="M26" s="115" t="s">
        <v>11</v>
      </c>
      <c r="BK26" s="14"/>
      <c r="BL26" s="14"/>
      <c r="BM26" s="14"/>
      <c r="BN26" s="12"/>
      <c r="BO26" s="12"/>
      <c r="BP26" s="12"/>
      <c r="BQ26" s="12"/>
      <c r="BR26" s="12"/>
      <c r="BS26" s="12"/>
    </row>
    <row r="27" spans="1:172" ht="14.4" customHeight="1" x14ac:dyDescent="0.3">
      <c r="A27" s="2"/>
      <c r="B27" s="2"/>
      <c r="D27" s="11"/>
      <c r="E27" s="2"/>
      <c r="F27" s="2"/>
      <c r="G27" s="11"/>
      <c r="H27" s="11"/>
      <c r="I27" s="2"/>
      <c r="J27" s="2"/>
      <c r="K27" s="2"/>
      <c r="L27" s="2"/>
      <c r="M27" s="2"/>
      <c r="BI27" s="6"/>
      <c r="BJ27" s="14"/>
      <c r="BK27" s="6"/>
      <c r="BL27" s="14"/>
    </row>
    <row r="28" spans="1:172" ht="14.4" customHeight="1" x14ac:dyDescent="0.3">
      <c r="A28" s="2"/>
      <c r="B28" s="2"/>
      <c r="D28" s="5"/>
      <c r="E28" s="5"/>
      <c r="F28" s="2"/>
      <c r="G28" s="11"/>
      <c r="H28" s="11"/>
      <c r="I28" s="5"/>
      <c r="L28" s="96"/>
      <c r="M28" s="108" t="s">
        <v>47</v>
      </c>
      <c r="BI28" s="6"/>
      <c r="BJ28" s="14"/>
      <c r="BK28" s="6"/>
      <c r="BL28" s="14"/>
      <c r="BS28" s="43"/>
    </row>
    <row r="29" spans="1:172" x14ac:dyDescent="0.3">
      <c r="A29" s="2"/>
      <c r="B29" s="2"/>
      <c r="BI29" s="6"/>
      <c r="BJ29" s="14"/>
      <c r="BK29" s="6"/>
      <c r="BL29" s="14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4"/>
      <c r="FP29" s="33"/>
    </row>
    <row r="30" spans="1:172" x14ac:dyDescent="0.3">
      <c r="A30" s="2"/>
      <c r="BI30" s="6"/>
      <c r="BJ30" s="14"/>
      <c r="BK30" s="6"/>
      <c r="BL30" s="14"/>
      <c r="EF30" s="35" t="s">
        <v>5</v>
      </c>
      <c r="EG30" s="36"/>
      <c r="EH30" s="36" t="s">
        <v>15</v>
      </c>
      <c r="EI30" s="37" t="s">
        <v>2</v>
      </c>
      <c r="EJ30" s="36" t="str">
        <f t="shared" ref="EJ30:ES30" si="3">D12</f>
        <v>Reputation</v>
      </c>
      <c r="EK30" s="36" t="str">
        <f t="shared" si="3"/>
        <v>Campus</v>
      </c>
      <c r="EL30" s="36" t="str">
        <f t="shared" si="3"/>
        <v>Academics</v>
      </c>
      <c r="EM30" s="36" t="str">
        <f t="shared" si="3"/>
        <v>Location</v>
      </c>
      <c r="EN30" s="36" t="str">
        <f t="shared" si="3"/>
        <v>Extra-curricular</v>
      </c>
      <c r="EO30" s="36" t="str">
        <f t="shared" si="3"/>
        <v>Recruiting</v>
      </c>
      <c r="EP30" s="36" t="str">
        <f t="shared" si="3"/>
        <v>Sports</v>
      </c>
      <c r="EQ30" s="36" t="str">
        <f t="shared" si="3"/>
        <v>Alumni</v>
      </c>
      <c r="ER30" s="36" t="str">
        <f t="shared" si="3"/>
        <v>Housing</v>
      </c>
      <c r="ES30" s="36" t="str">
        <f t="shared" si="3"/>
        <v>Off-campus</v>
      </c>
      <c r="ET30" s="38" t="s">
        <v>1</v>
      </c>
      <c r="EU30" s="38" t="s">
        <v>0</v>
      </c>
      <c r="EV30" s="36" t="s">
        <v>15</v>
      </c>
      <c r="EW30" s="36" t="s">
        <v>11</v>
      </c>
      <c r="EX30" s="36" t="s">
        <v>12</v>
      </c>
      <c r="EY30" s="36" t="s">
        <v>13</v>
      </c>
      <c r="EZ30" s="36" t="s">
        <v>14</v>
      </c>
      <c r="FA30" s="36" t="s">
        <v>10</v>
      </c>
      <c r="FB30" s="36" t="s">
        <v>15</v>
      </c>
      <c r="FC30" s="37" t="s">
        <v>2</v>
      </c>
      <c r="FD30" s="36" t="s">
        <v>4</v>
      </c>
      <c r="FE30" s="36" t="s">
        <v>11</v>
      </c>
      <c r="FF30" s="36" t="s">
        <v>12</v>
      </c>
      <c r="FG30" s="36" t="s">
        <v>13</v>
      </c>
      <c r="FH30" s="36" t="s">
        <v>14</v>
      </c>
      <c r="FI30" s="36" t="s">
        <v>10</v>
      </c>
      <c r="FJ30" s="36" t="s">
        <v>15</v>
      </c>
      <c r="FK30" s="33" t="s">
        <v>0</v>
      </c>
      <c r="FL30" s="35" t="s">
        <v>8</v>
      </c>
      <c r="FM30" s="33" t="s">
        <v>5</v>
      </c>
      <c r="FN30" s="33" t="s">
        <v>9</v>
      </c>
      <c r="FO30" s="36" t="s">
        <v>4</v>
      </c>
      <c r="FP30" s="33" t="s">
        <v>7</v>
      </c>
    </row>
    <row r="31" spans="1:172" x14ac:dyDescent="0.3">
      <c r="A31" s="2"/>
      <c r="EF31" s="35"/>
      <c r="EG31" s="33"/>
      <c r="EH31" s="36" t="s">
        <v>15</v>
      </c>
      <c r="EI31" s="37" t="str">
        <f t="shared" ref="EI31:EI42" si="4">C15</f>
        <v>UCLA</v>
      </c>
      <c r="EJ31" s="36">
        <f t="shared" ref="EJ31:EJ42" si="5">IFERROR(VLOOKUP(D15,$EF$38:$EG$42,2,FALSE) * VLOOKUP(D$14,$EF$32:$EG$34,2,FALSE),0)</f>
        <v>42</v>
      </c>
      <c r="EK31" s="36">
        <f t="shared" ref="EK31:EK42" si="6">IFERROR(VLOOKUP(E15,$EF$38:$EG$42,2,FALSE) * VLOOKUP(E$14,$EF$32:$EG$34,2,FALSE),0)</f>
        <v>18</v>
      </c>
      <c r="EL31" s="36">
        <f t="shared" ref="EL31:EL42" si="7">IFERROR(VLOOKUP(F15,$EF$38:$EG$42,2,FALSE) * VLOOKUP(F$14,$EF$32:$EG$34,2,FALSE),0)</f>
        <v>4</v>
      </c>
      <c r="EM31" s="36">
        <f t="shared" ref="EM31:EM42" si="8">IFERROR(VLOOKUP(G15,$EF$38:$EG$42,2,FALSE) * VLOOKUP(G$14,$EF$32:$EG$34,2,FALSE),0)</f>
        <v>12</v>
      </c>
      <c r="EN31" s="36">
        <f t="shared" ref="EN31:EN42" si="9">IFERROR(VLOOKUP(H15,$EF$38:$EG$42,2,FALSE) * VLOOKUP(H$14,$EF$32:$EG$34,2,FALSE),0)</f>
        <v>10</v>
      </c>
      <c r="EO31" s="36">
        <f t="shared" ref="EO31:EO42" si="10">IFERROR(VLOOKUP(I15,$EF$38:$EG$42,2,FALSE) * VLOOKUP(I$14,$EF$32:$EG$34,2,FALSE),0)</f>
        <v>-4</v>
      </c>
      <c r="EP31" s="36">
        <f t="shared" ref="EP31:EP42" si="11">IFERROR(VLOOKUP(J15,$EF$38:$EG$42,2,FALSE) * VLOOKUP(J$14,$EF$32:$EG$34,2,FALSE),0)</f>
        <v>1</v>
      </c>
      <c r="EQ31" s="36">
        <f t="shared" ref="EQ31:EQ42" si="12">IFERROR(VLOOKUP(K15,$EF$38:$EG$42,2,FALSE) * VLOOKUP(K$14,$EF$32:$EG$34,2,FALSE),0)</f>
        <v>-4</v>
      </c>
      <c r="ER31" s="36">
        <f t="shared" ref="ER31:ER42" si="13">IFERROR(VLOOKUP(L15,$EF$38:$EG$42,2,FALSE) * VLOOKUP(L$14,$EF$32:$EG$34,2,FALSE),0)</f>
        <v>6</v>
      </c>
      <c r="ES31" s="36">
        <f t="shared" ref="ES31:ES42" si="14">IFERROR(VLOOKUP(M15,$EF$38:$EG$42,2,FALSE) * VLOOKUP(M$14,$EF$32:$EG$34,2,FALSE),0)</f>
        <v>4</v>
      </c>
      <c r="ET31" s="36">
        <f>SUM(EJ31:ES31)+0.012</f>
        <v>89.012</v>
      </c>
      <c r="EU31" s="36">
        <f t="shared" ref="EU31:EU42" si="15">RANK(ET31,$ET$31:$ET$42)</f>
        <v>10</v>
      </c>
      <c r="EV31" s="36" t="s">
        <v>15</v>
      </c>
      <c r="EW31" s="36">
        <f t="shared" ref="EW31:FA42" si="16">COUNTIF($D15:$M15,EW$30)</f>
        <v>1</v>
      </c>
      <c r="EX31" s="36">
        <f t="shared" si="16"/>
        <v>1</v>
      </c>
      <c r="EY31" s="36">
        <f t="shared" si="16"/>
        <v>2</v>
      </c>
      <c r="EZ31" s="36">
        <f t="shared" si="16"/>
        <v>4</v>
      </c>
      <c r="FA31" s="36">
        <f t="shared" si="16"/>
        <v>2</v>
      </c>
      <c r="FB31" s="36" t="s">
        <v>15</v>
      </c>
      <c r="FC31" s="37" t="str">
        <f>INDEX($EI$31:$ET$42,MATCH(12,$EU$31:$EU$42,0),1)</f>
        <v>Stanfurd</v>
      </c>
      <c r="FD31" s="36">
        <f t="shared" ref="FD31:FD42" si="17">VLOOKUP($FC31,$EI$31:$ET$42,12,FALSE)</f>
        <v>4.0000000000000001E-3</v>
      </c>
      <c r="FE31" s="36">
        <f t="shared" ref="FE31:FE42" si="18">VLOOKUP($FC31,$EI$31:$FA$42,15,FALSE)</f>
        <v>0</v>
      </c>
      <c r="FF31" s="36">
        <f t="shared" ref="FF31:FF42" si="19">VLOOKUP($FC31,$EI$31:$FA$42,16,FALSE)</f>
        <v>0</v>
      </c>
      <c r="FG31" s="36">
        <f t="shared" ref="FG31:FG42" si="20">VLOOKUP($FC31,$EI$31:$FA$42,17,FALSE)</f>
        <v>0</v>
      </c>
      <c r="FH31" s="36">
        <f t="shared" ref="FH31:FH42" si="21">VLOOKUP($FC31,$EI$31:$FA$42,18,FALSE)</f>
        <v>4</v>
      </c>
      <c r="FI31" s="36">
        <f t="shared" ref="FI31:FI42" si="22">VLOOKUP($FC31,$EI$31:$FA$42,19,FALSE)</f>
        <v>6</v>
      </c>
      <c r="FJ31" s="36" t="s">
        <v>15</v>
      </c>
      <c r="FK31" s="33">
        <f t="shared" ref="FK31:FK40" si="23">RANK(FO31,$FO$31:$FO$40)</f>
        <v>1</v>
      </c>
      <c r="FL31" s="39" t="str">
        <f>EJ30</f>
        <v>Reputation</v>
      </c>
      <c r="FM31" s="33" t="str">
        <f>IFERROR( VLOOKUP(D$14,$EF$32:$EG$34,1,FALSE),0)</f>
        <v>High</v>
      </c>
      <c r="FN31" s="33" t="str">
        <f>VLOOKUP($FC42,$C$15:$M$26,2,FALSE)</f>
        <v>✮✮✮✮✮</v>
      </c>
      <c r="FO31" s="40">
        <f>IF(FM31="High",30,IF(FM31="Medium",20,10))+LEN(FN31)+0.001</f>
        <v>35.000999999999998</v>
      </c>
      <c r="FP31" s="33">
        <v>1</v>
      </c>
    </row>
    <row r="32" spans="1:172" x14ac:dyDescent="0.3">
      <c r="A32" s="2"/>
      <c r="EF32" s="37" t="s">
        <v>17</v>
      </c>
      <c r="EG32" s="36">
        <v>6</v>
      </c>
      <c r="EH32" s="36" t="s">
        <v>15</v>
      </c>
      <c r="EI32" s="37" t="str">
        <f t="shared" si="4"/>
        <v>Cal</v>
      </c>
      <c r="EJ32" s="36">
        <f t="shared" si="5"/>
        <v>60</v>
      </c>
      <c r="EK32" s="36">
        <f t="shared" si="6"/>
        <v>18</v>
      </c>
      <c r="EL32" s="36">
        <f t="shared" si="7"/>
        <v>40</v>
      </c>
      <c r="EM32" s="36">
        <f t="shared" si="8"/>
        <v>12</v>
      </c>
      <c r="EN32" s="36">
        <f t="shared" si="9"/>
        <v>10</v>
      </c>
      <c r="EO32" s="36">
        <f t="shared" si="10"/>
        <v>12</v>
      </c>
      <c r="EP32" s="36">
        <f t="shared" si="11"/>
        <v>7</v>
      </c>
      <c r="EQ32" s="36">
        <f t="shared" si="12"/>
        <v>28</v>
      </c>
      <c r="ER32" s="36">
        <f t="shared" si="13"/>
        <v>6</v>
      </c>
      <c r="ES32" s="36">
        <f t="shared" si="14"/>
        <v>28</v>
      </c>
      <c r="ET32" s="36">
        <f>SUM(EJ32:ES32)+0.011</f>
        <v>221.011</v>
      </c>
      <c r="EU32" s="36">
        <f t="shared" si="15"/>
        <v>1</v>
      </c>
      <c r="EV32" s="36" t="s">
        <v>15</v>
      </c>
      <c r="EW32" s="36">
        <f t="shared" si="16"/>
        <v>3</v>
      </c>
      <c r="EX32" s="36">
        <f t="shared" si="16"/>
        <v>3</v>
      </c>
      <c r="EY32" s="36">
        <f t="shared" si="16"/>
        <v>3</v>
      </c>
      <c r="EZ32" s="36">
        <f t="shared" si="16"/>
        <v>1</v>
      </c>
      <c r="FA32" s="36">
        <f t="shared" si="16"/>
        <v>0</v>
      </c>
      <c r="FB32" s="36" t="s">
        <v>15</v>
      </c>
      <c r="FC32" s="37" t="str">
        <f>INDEX($EI$31:$ES$42,MATCH(11,$EU$31:$EU$42,0),1)</f>
        <v>Harvard</v>
      </c>
      <c r="FD32" s="36">
        <f t="shared" si="17"/>
        <v>87.009</v>
      </c>
      <c r="FE32" s="36">
        <f t="shared" si="18"/>
        <v>1</v>
      </c>
      <c r="FF32" s="36">
        <f t="shared" si="19"/>
        <v>3</v>
      </c>
      <c r="FG32" s="36">
        <f t="shared" si="20"/>
        <v>1</v>
      </c>
      <c r="FH32" s="36">
        <f t="shared" si="21"/>
        <v>2</v>
      </c>
      <c r="FI32" s="36">
        <f t="shared" si="22"/>
        <v>3</v>
      </c>
      <c r="FJ32" s="36" t="s">
        <v>15</v>
      </c>
      <c r="FK32" s="33">
        <f t="shared" si="23"/>
        <v>2</v>
      </c>
      <c r="FL32" s="39" t="str">
        <f>EK30</f>
        <v>Campus</v>
      </c>
      <c r="FM32" s="33" t="str">
        <f>IFERROR( VLOOKUP(E$14,$EF$32:$EG$34,1,FALSE),0)</f>
        <v>High</v>
      </c>
      <c r="FN32" s="33" t="str">
        <f>VLOOKUP($FC42,$C$15:$M$26,3,FALSE)</f>
        <v>✮✮✮</v>
      </c>
      <c r="FO32" s="40">
        <f>IF(FM32="High",30,IF(FM32="Medium",20,10))+LEN(FN32)+0.002</f>
        <v>33.002000000000002</v>
      </c>
      <c r="FP32" s="33">
        <v>2</v>
      </c>
    </row>
    <row r="33" spans="1:172" x14ac:dyDescent="0.3">
      <c r="A33" s="2"/>
      <c r="EF33" s="37" t="s">
        <v>18</v>
      </c>
      <c r="EG33" s="36">
        <v>4</v>
      </c>
      <c r="EH33" s="36" t="s">
        <v>15</v>
      </c>
      <c r="EI33" s="37" t="str">
        <f t="shared" si="4"/>
        <v>Pepperdine</v>
      </c>
      <c r="EJ33" s="36">
        <f t="shared" si="5"/>
        <v>42</v>
      </c>
      <c r="EK33" s="36">
        <f t="shared" si="6"/>
        <v>42</v>
      </c>
      <c r="EL33" s="36">
        <f t="shared" si="7"/>
        <v>4</v>
      </c>
      <c r="EM33" s="36">
        <f t="shared" si="8"/>
        <v>28</v>
      </c>
      <c r="EN33" s="36">
        <f t="shared" si="9"/>
        <v>-1</v>
      </c>
      <c r="EO33" s="36">
        <f t="shared" si="10"/>
        <v>4</v>
      </c>
      <c r="EP33" s="36">
        <f t="shared" si="11"/>
        <v>10</v>
      </c>
      <c r="EQ33" s="36">
        <f t="shared" si="12"/>
        <v>12</v>
      </c>
      <c r="ER33" s="36">
        <f t="shared" si="13"/>
        <v>6</v>
      </c>
      <c r="ES33" s="36">
        <f t="shared" si="14"/>
        <v>-4</v>
      </c>
      <c r="ET33" s="36">
        <f>SUM(EJ33:ES33)+0.01</f>
        <v>143.01</v>
      </c>
      <c r="EU33" s="36">
        <f t="shared" si="15"/>
        <v>9</v>
      </c>
      <c r="EV33" s="36" t="s">
        <v>15</v>
      </c>
      <c r="EW33" s="36">
        <f t="shared" si="16"/>
        <v>1</v>
      </c>
      <c r="EX33" s="36">
        <f t="shared" si="16"/>
        <v>3</v>
      </c>
      <c r="EY33" s="36">
        <f t="shared" si="16"/>
        <v>1</v>
      </c>
      <c r="EZ33" s="36">
        <f t="shared" si="16"/>
        <v>3</v>
      </c>
      <c r="FA33" s="36">
        <f t="shared" si="16"/>
        <v>2</v>
      </c>
      <c r="FB33" s="36" t="s">
        <v>15</v>
      </c>
      <c r="FC33" s="37" t="str">
        <f>INDEX($EI$31:$ES$42,MATCH(10,$EU$31:$EU$42,0),1)</f>
        <v>UCLA</v>
      </c>
      <c r="FD33" s="36">
        <f t="shared" si="17"/>
        <v>89.012</v>
      </c>
      <c r="FE33" s="36">
        <f t="shared" si="18"/>
        <v>1</v>
      </c>
      <c r="FF33" s="36">
        <f t="shared" si="19"/>
        <v>1</v>
      </c>
      <c r="FG33" s="36">
        <f t="shared" si="20"/>
        <v>2</v>
      </c>
      <c r="FH33" s="36">
        <f t="shared" si="21"/>
        <v>4</v>
      </c>
      <c r="FI33" s="36">
        <f t="shared" si="22"/>
        <v>2</v>
      </c>
      <c r="FJ33" s="36" t="s">
        <v>15</v>
      </c>
      <c r="FK33" s="33">
        <f t="shared" si="23"/>
        <v>4</v>
      </c>
      <c r="FL33" s="37" t="str">
        <f>EL30</f>
        <v>Academics</v>
      </c>
      <c r="FM33" s="33" t="str">
        <f>IFERROR( VLOOKUP(F$14,$EF$32:$EG$34,1,FALSE),0)</f>
        <v>Medium</v>
      </c>
      <c r="FN33" s="33" t="str">
        <f>VLOOKUP($FC42,$C$15:$M$26,4,FALSE)</f>
        <v>✮✮✮✮✮</v>
      </c>
      <c r="FO33" s="40">
        <f>IF(FM33="High",30,IF(FM33="Medium",20,10))+LEN(FN33)+0.003</f>
        <v>25.003</v>
      </c>
      <c r="FP33" s="33">
        <v>3</v>
      </c>
    </row>
    <row r="34" spans="1:172" x14ac:dyDescent="0.3">
      <c r="A34" s="2"/>
      <c r="EF34" s="37" t="s">
        <v>19</v>
      </c>
      <c r="EG34" s="36">
        <v>1</v>
      </c>
      <c r="EH34" s="36" t="s">
        <v>15</v>
      </c>
      <c r="EI34" s="37" t="str">
        <f t="shared" si="4"/>
        <v>Harvard</v>
      </c>
      <c r="EJ34" s="36">
        <f t="shared" si="5"/>
        <v>18</v>
      </c>
      <c r="EK34" s="36">
        <f t="shared" si="6"/>
        <v>6</v>
      </c>
      <c r="EL34" s="36">
        <f t="shared" si="7"/>
        <v>28</v>
      </c>
      <c r="EM34" s="36">
        <f t="shared" si="8"/>
        <v>-4</v>
      </c>
      <c r="EN34" s="36">
        <f t="shared" si="9"/>
        <v>10</v>
      </c>
      <c r="EO34" s="36">
        <f t="shared" si="10"/>
        <v>-4</v>
      </c>
      <c r="EP34" s="36">
        <f t="shared" si="11"/>
        <v>7</v>
      </c>
      <c r="EQ34" s="36">
        <f t="shared" si="12"/>
        <v>28</v>
      </c>
      <c r="ER34" s="36">
        <f t="shared" si="13"/>
        <v>-6</v>
      </c>
      <c r="ES34" s="36">
        <f t="shared" si="14"/>
        <v>4</v>
      </c>
      <c r="ET34" s="36">
        <f>SUM(EJ34:ES34)+0.009</f>
        <v>87.009</v>
      </c>
      <c r="EU34" s="36">
        <f t="shared" si="15"/>
        <v>11</v>
      </c>
      <c r="EV34" s="36" t="s">
        <v>15</v>
      </c>
      <c r="EW34" s="36">
        <f t="shared" si="16"/>
        <v>1</v>
      </c>
      <c r="EX34" s="36">
        <f t="shared" si="16"/>
        <v>3</v>
      </c>
      <c r="EY34" s="36">
        <f t="shared" si="16"/>
        <v>1</v>
      </c>
      <c r="EZ34" s="36">
        <f t="shared" si="16"/>
        <v>2</v>
      </c>
      <c r="FA34" s="36">
        <f t="shared" si="16"/>
        <v>3</v>
      </c>
      <c r="FB34" s="36" t="s">
        <v>15</v>
      </c>
      <c r="FC34" s="37" t="str">
        <f>INDEX($EI$31:$ES$42,MATCH(9,$EU$31:$EU$42,0),1)</f>
        <v>Pepperdine</v>
      </c>
      <c r="FD34" s="36">
        <f t="shared" si="17"/>
        <v>143.01</v>
      </c>
      <c r="FE34" s="36">
        <f t="shared" si="18"/>
        <v>1</v>
      </c>
      <c r="FF34" s="36">
        <f t="shared" si="19"/>
        <v>3</v>
      </c>
      <c r="FG34" s="36">
        <f t="shared" si="20"/>
        <v>1</v>
      </c>
      <c r="FH34" s="36">
        <f t="shared" si="21"/>
        <v>3</v>
      </c>
      <c r="FI34" s="36">
        <f t="shared" si="22"/>
        <v>2</v>
      </c>
      <c r="FJ34" s="36" t="s">
        <v>15</v>
      </c>
      <c r="FK34" s="33">
        <f t="shared" si="23"/>
        <v>8</v>
      </c>
      <c r="FL34" s="37" t="str">
        <f>EM30</f>
        <v>Location</v>
      </c>
      <c r="FM34" s="33" t="str">
        <f>IFERROR( VLOOKUP(G$14,$EF$32:$EG$34,1,FALSE),0)</f>
        <v>Medium</v>
      </c>
      <c r="FN34" s="33" t="str">
        <f>VLOOKUP($FC42,$C$15:$M$26,5,FALSE)</f>
        <v>✮✮✮</v>
      </c>
      <c r="FO34" s="40">
        <f>IF(FM34="High",30,IF(FM34="Medium",20,10))+LEN(FN34)+0.004</f>
        <v>23.004000000000001</v>
      </c>
      <c r="FP34" s="33">
        <v>4</v>
      </c>
    </row>
    <row r="35" spans="1:172" x14ac:dyDescent="0.3">
      <c r="A35" s="2"/>
      <c r="EF35" s="35"/>
      <c r="EG35" s="33"/>
      <c r="EH35" s="36" t="s">
        <v>15</v>
      </c>
      <c r="EI35" s="37" t="str">
        <f t="shared" si="4"/>
        <v>Northwestern</v>
      </c>
      <c r="EJ35" s="36">
        <f t="shared" si="5"/>
        <v>42</v>
      </c>
      <c r="EK35" s="36">
        <f t="shared" si="6"/>
        <v>6</v>
      </c>
      <c r="EL35" s="36">
        <f t="shared" si="7"/>
        <v>28</v>
      </c>
      <c r="EM35" s="36">
        <f t="shared" si="8"/>
        <v>12</v>
      </c>
      <c r="EN35" s="36">
        <f t="shared" si="9"/>
        <v>-1</v>
      </c>
      <c r="EO35" s="36">
        <f t="shared" si="10"/>
        <v>28</v>
      </c>
      <c r="EP35" s="36">
        <f t="shared" si="11"/>
        <v>3</v>
      </c>
      <c r="EQ35" s="36">
        <f t="shared" si="12"/>
        <v>4</v>
      </c>
      <c r="ER35" s="36">
        <f t="shared" si="13"/>
        <v>60</v>
      </c>
      <c r="ES35" s="36">
        <f t="shared" si="14"/>
        <v>28</v>
      </c>
      <c r="ET35" s="36">
        <f>SUM(EJ35:ES35)+0.008</f>
        <v>210.00800000000001</v>
      </c>
      <c r="EU35" s="36">
        <f t="shared" si="15"/>
        <v>2</v>
      </c>
      <c r="EV35" s="36" t="s">
        <v>15</v>
      </c>
      <c r="EW35" s="36">
        <f t="shared" si="16"/>
        <v>1</v>
      </c>
      <c r="EX35" s="36">
        <f t="shared" si="16"/>
        <v>4</v>
      </c>
      <c r="EY35" s="36">
        <f t="shared" si="16"/>
        <v>2</v>
      </c>
      <c r="EZ35" s="36">
        <f t="shared" si="16"/>
        <v>2</v>
      </c>
      <c r="FA35" s="36">
        <f t="shared" si="16"/>
        <v>1</v>
      </c>
      <c r="FB35" s="36" t="s">
        <v>15</v>
      </c>
      <c r="FC35" s="37" t="str">
        <f>INDEX($EI$31:$ES$42,MATCH(8,$EU$31:$EU$42,0),1)</f>
        <v>Cal Tech</v>
      </c>
      <c r="FD35" s="36">
        <f t="shared" si="17"/>
        <v>147.001</v>
      </c>
      <c r="FE35" s="36">
        <f t="shared" si="18"/>
        <v>3</v>
      </c>
      <c r="FF35" s="36">
        <f t="shared" si="19"/>
        <v>1</v>
      </c>
      <c r="FG35" s="36">
        <f t="shared" si="20"/>
        <v>2</v>
      </c>
      <c r="FH35" s="36">
        <f t="shared" si="21"/>
        <v>3</v>
      </c>
      <c r="FI35" s="36">
        <f t="shared" si="22"/>
        <v>1</v>
      </c>
      <c r="FJ35" s="36" t="s">
        <v>15</v>
      </c>
      <c r="FK35" s="33">
        <f t="shared" si="23"/>
        <v>9</v>
      </c>
      <c r="FL35" s="37" t="str">
        <f>EN30</f>
        <v>Extra-curricular</v>
      </c>
      <c r="FM35" s="33" t="str">
        <f>IFERROR( VLOOKUP(H$14,$EF$32:$EG$34,1,FALSE),0)</f>
        <v>Low</v>
      </c>
      <c r="FN35" s="33" t="str">
        <f>VLOOKUP($FC42,$C$15:$M$26,6,FALSE)</f>
        <v>✮✮✮✮✮</v>
      </c>
      <c r="FO35" s="40">
        <f>IF(FM35="High",30,IF(FM35="Medium",20,10))+LEN(FN35)+0.005</f>
        <v>15.005000000000001</v>
      </c>
      <c r="FP35" s="33">
        <v>5</v>
      </c>
    </row>
    <row r="36" spans="1:172" x14ac:dyDescent="0.3">
      <c r="A36" s="2"/>
      <c r="EF36" s="35" t="s">
        <v>1</v>
      </c>
      <c r="EG36" s="33"/>
      <c r="EH36" s="36" t="s">
        <v>15</v>
      </c>
      <c r="EI36" s="37" t="str">
        <f t="shared" si="4"/>
        <v>USC</v>
      </c>
      <c r="EJ36" s="36">
        <f t="shared" si="5"/>
        <v>60</v>
      </c>
      <c r="EK36" s="36">
        <f t="shared" si="6"/>
        <v>-6</v>
      </c>
      <c r="EL36" s="36">
        <f t="shared" si="7"/>
        <v>-4</v>
      </c>
      <c r="EM36" s="36">
        <f t="shared" si="8"/>
        <v>4</v>
      </c>
      <c r="EN36" s="36">
        <f t="shared" si="9"/>
        <v>1</v>
      </c>
      <c r="EO36" s="36">
        <f t="shared" si="10"/>
        <v>40</v>
      </c>
      <c r="EP36" s="36">
        <f t="shared" si="11"/>
        <v>3</v>
      </c>
      <c r="EQ36" s="36">
        <f t="shared" si="12"/>
        <v>28</v>
      </c>
      <c r="ER36" s="36">
        <f t="shared" si="13"/>
        <v>42</v>
      </c>
      <c r="ES36" s="36">
        <f t="shared" si="14"/>
        <v>28</v>
      </c>
      <c r="ET36" s="36">
        <f>SUM(EJ36:ES36)+0.007</f>
        <v>196.00700000000001</v>
      </c>
      <c r="EU36" s="36">
        <f t="shared" si="15"/>
        <v>3</v>
      </c>
      <c r="EV36" s="36" t="s">
        <v>15</v>
      </c>
      <c r="EW36" s="36">
        <f t="shared" si="16"/>
        <v>2</v>
      </c>
      <c r="EX36" s="36">
        <f t="shared" si="16"/>
        <v>3</v>
      </c>
      <c r="EY36" s="36">
        <f t="shared" si="16"/>
        <v>1</v>
      </c>
      <c r="EZ36" s="36">
        <f t="shared" si="16"/>
        <v>2</v>
      </c>
      <c r="FA36" s="36">
        <f t="shared" si="16"/>
        <v>2</v>
      </c>
      <c r="FB36" s="36" t="s">
        <v>15</v>
      </c>
      <c r="FC36" s="37" t="str">
        <f>INDEX($EI$31:$ES$42,MATCH(7,$EU$31:$EU$42,0),1)</f>
        <v>Penn State</v>
      </c>
      <c r="FD36" s="36">
        <f t="shared" si="17"/>
        <v>154.00299999999999</v>
      </c>
      <c r="FE36" s="36">
        <f t="shared" si="18"/>
        <v>1</v>
      </c>
      <c r="FF36" s="36">
        <f t="shared" si="19"/>
        <v>4</v>
      </c>
      <c r="FG36" s="36">
        <f t="shared" si="20"/>
        <v>1</v>
      </c>
      <c r="FH36" s="36">
        <f t="shared" si="21"/>
        <v>1</v>
      </c>
      <c r="FI36" s="36">
        <f t="shared" si="22"/>
        <v>3</v>
      </c>
      <c r="FJ36" s="36" t="s">
        <v>15</v>
      </c>
      <c r="FK36" s="33">
        <f t="shared" si="23"/>
        <v>7</v>
      </c>
      <c r="FL36" s="37" t="str">
        <f>EO30</f>
        <v>Recruiting</v>
      </c>
      <c r="FM36" s="33" t="str">
        <f>IFERROR( VLOOKUP(I$14,$EF$32:$EG$34,1,FALSE),0)</f>
        <v>Medium</v>
      </c>
      <c r="FN36" s="33" t="str">
        <f>VLOOKUP($FC42,$C$15:$M$26,7,FALSE)</f>
        <v>✮✮✮</v>
      </c>
      <c r="FO36" s="40">
        <f>IF(FM36="High",30,IF(FM36="Medium",20,10))+LEN(FN36)+0.006</f>
        <v>23.006</v>
      </c>
      <c r="FP36" s="33">
        <v>6</v>
      </c>
    </row>
    <row r="37" spans="1:172" x14ac:dyDescent="0.3">
      <c r="A37" s="2"/>
      <c r="EF37" s="35"/>
      <c r="EG37" s="33"/>
      <c r="EH37" s="36" t="s">
        <v>15</v>
      </c>
      <c r="EI37" s="37" t="str">
        <f t="shared" si="4"/>
        <v>Florida State</v>
      </c>
      <c r="EJ37" s="36">
        <f t="shared" si="5"/>
        <v>60</v>
      </c>
      <c r="EK37" s="36">
        <f t="shared" si="6"/>
        <v>42</v>
      </c>
      <c r="EL37" s="36">
        <f t="shared" si="7"/>
        <v>12</v>
      </c>
      <c r="EM37" s="36">
        <f t="shared" si="8"/>
        <v>12</v>
      </c>
      <c r="EN37" s="36">
        <f t="shared" si="9"/>
        <v>1</v>
      </c>
      <c r="EO37" s="36">
        <f t="shared" si="10"/>
        <v>12</v>
      </c>
      <c r="EP37" s="36">
        <f t="shared" si="11"/>
        <v>-1</v>
      </c>
      <c r="EQ37" s="36">
        <f t="shared" si="12"/>
        <v>12</v>
      </c>
      <c r="ER37" s="36">
        <f t="shared" si="13"/>
        <v>6</v>
      </c>
      <c r="ES37" s="36">
        <f t="shared" si="14"/>
        <v>4</v>
      </c>
      <c r="ET37" s="36">
        <f>SUM(EJ37:ES37)+0.006</f>
        <v>160.006</v>
      </c>
      <c r="EU37" s="36">
        <f t="shared" si="15"/>
        <v>5</v>
      </c>
      <c r="EV37" s="36" t="s">
        <v>15</v>
      </c>
      <c r="EW37" s="36">
        <f t="shared" si="16"/>
        <v>1</v>
      </c>
      <c r="EX37" s="36">
        <f t="shared" si="16"/>
        <v>1</v>
      </c>
      <c r="EY37" s="36">
        <f t="shared" si="16"/>
        <v>4</v>
      </c>
      <c r="EZ37" s="36">
        <f t="shared" si="16"/>
        <v>3</v>
      </c>
      <c r="FA37" s="36">
        <f t="shared" si="16"/>
        <v>1</v>
      </c>
      <c r="FB37" s="36" t="s">
        <v>15</v>
      </c>
      <c r="FC37" s="37" t="str">
        <f>INDEX($EI$31:$ES$42,MATCH(6,$EU$31:$EU$42,0),1)</f>
        <v>Oregon</v>
      </c>
      <c r="FD37" s="36">
        <f t="shared" si="17"/>
        <v>157.00200000000001</v>
      </c>
      <c r="FE37" s="36">
        <f t="shared" si="18"/>
        <v>3</v>
      </c>
      <c r="FF37" s="36">
        <f t="shared" si="19"/>
        <v>1</v>
      </c>
      <c r="FG37" s="36">
        <f t="shared" si="20"/>
        <v>2</v>
      </c>
      <c r="FH37" s="36">
        <f t="shared" si="21"/>
        <v>1</v>
      </c>
      <c r="FI37" s="36">
        <f t="shared" si="22"/>
        <v>3</v>
      </c>
      <c r="FJ37" s="36" t="s">
        <v>15</v>
      </c>
      <c r="FK37" s="33">
        <f t="shared" si="23"/>
        <v>10</v>
      </c>
      <c r="FL37" s="37" t="str">
        <f>EP30</f>
        <v>Sports</v>
      </c>
      <c r="FM37" s="33" t="str">
        <f>IFERROR( VLOOKUP(J$14,$EF$32:$EG$34,1,FALSE),0)</f>
        <v>Low</v>
      </c>
      <c r="FN37" s="33" t="str">
        <f>VLOOKUP($FC42,$C$15:$M$26,8,FALSE)</f>
        <v>✮✮✮✮</v>
      </c>
      <c r="FO37" s="40">
        <f>IF(FM37="High",30,IF(FM37="Medium",20,10))+LEN(FN37)+0.007</f>
        <v>14.007</v>
      </c>
      <c r="FP37" s="33">
        <v>7</v>
      </c>
    </row>
    <row r="38" spans="1:172" x14ac:dyDescent="0.3">
      <c r="A38" s="2"/>
      <c r="EF38" s="37" t="s">
        <v>11</v>
      </c>
      <c r="EG38" s="36">
        <v>10</v>
      </c>
      <c r="EH38" s="36" t="s">
        <v>15</v>
      </c>
      <c r="EI38" s="37" t="str">
        <f t="shared" si="4"/>
        <v>Michigan</v>
      </c>
      <c r="EJ38" s="36">
        <f t="shared" si="5"/>
        <v>60</v>
      </c>
      <c r="EK38" s="36">
        <f t="shared" si="6"/>
        <v>42</v>
      </c>
      <c r="EL38" s="36">
        <f t="shared" si="7"/>
        <v>4</v>
      </c>
      <c r="EM38" s="36">
        <f t="shared" si="8"/>
        <v>-4</v>
      </c>
      <c r="EN38" s="36">
        <f t="shared" si="9"/>
        <v>3</v>
      </c>
      <c r="EO38" s="36">
        <f t="shared" si="10"/>
        <v>12</v>
      </c>
      <c r="EP38" s="36">
        <f t="shared" si="11"/>
        <v>7</v>
      </c>
      <c r="EQ38" s="36">
        <f t="shared" si="12"/>
        <v>28</v>
      </c>
      <c r="ER38" s="36">
        <f t="shared" si="13"/>
        <v>18</v>
      </c>
      <c r="ES38" s="36">
        <f t="shared" si="14"/>
        <v>12</v>
      </c>
      <c r="ET38" s="36">
        <f>SUM(EJ38:ES38)+0.005</f>
        <v>182.005</v>
      </c>
      <c r="EU38" s="36">
        <f t="shared" si="15"/>
        <v>4</v>
      </c>
      <c r="EV38" s="36" t="s">
        <v>15</v>
      </c>
      <c r="EW38" s="36">
        <f t="shared" si="16"/>
        <v>1</v>
      </c>
      <c r="EX38" s="36">
        <f t="shared" si="16"/>
        <v>3</v>
      </c>
      <c r="EY38" s="36">
        <f t="shared" si="16"/>
        <v>4</v>
      </c>
      <c r="EZ38" s="36">
        <f t="shared" si="16"/>
        <v>1</v>
      </c>
      <c r="FA38" s="36">
        <f t="shared" si="16"/>
        <v>1</v>
      </c>
      <c r="FB38" s="36" t="s">
        <v>15</v>
      </c>
      <c r="FC38" s="37" t="str">
        <f>INDEX($EI$31:$ES$42,MATCH(5,$EU$31:$EU$42,0),1)</f>
        <v>Florida State</v>
      </c>
      <c r="FD38" s="36">
        <f t="shared" si="17"/>
        <v>160.006</v>
      </c>
      <c r="FE38" s="36">
        <f t="shared" si="18"/>
        <v>1</v>
      </c>
      <c r="FF38" s="36">
        <f t="shared" si="19"/>
        <v>1</v>
      </c>
      <c r="FG38" s="36">
        <f t="shared" si="20"/>
        <v>4</v>
      </c>
      <c r="FH38" s="36">
        <f t="shared" si="21"/>
        <v>3</v>
      </c>
      <c r="FI38" s="36">
        <f t="shared" si="22"/>
        <v>1</v>
      </c>
      <c r="FJ38" s="36" t="s">
        <v>15</v>
      </c>
      <c r="FK38" s="33">
        <f t="shared" si="23"/>
        <v>5</v>
      </c>
      <c r="FL38" s="37" t="str">
        <f>EQ30</f>
        <v>Alumni</v>
      </c>
      <c r="FM38" s="33" t="str">
        <f>IFERROR( VLOOKUP(K$14,$EF$32:$EG$34,1,FALSE),0)</f>
        <v>Medium</v>
      </c>
      <c r="FN38" s="33" t="str">
        <f>VLOOKUP($FC42,$C$15:$M$26,9,FALSE)</f>
        <v>✮✮✮✮</v>
      </c>
      <c r="FO38" s="40">
        <f>IF(FM38="High",30,IF(FM38="Medium",20,10))+LEN(FN38)+0.008</f>
        <v>24.007999999999999</v>
      </c>
      <c r="FP38" s="33">
        <v>8</v>
      </c>
    </row>
    <row r="39" spans="1:172" x14ac:dyDescent="0.3">
      <c r="A39" s="2"/>
      <c r="EF39" s="37" t="s">
        <v>12</v>
      </c>
      <c r="EG39" s="36">
        <v>7</v>
      </c>
      <c r="EH39" s="36" t="s">
        <v>15</v>
      </c>
      <c r="EI39" s="37" t="str">
        <f t="shared" si="4"/>
        <v>Stanfurd</v>
      </c>
      <c r="EJ39" s="36">
        <f t="shared" si="5"/>
        <v>-6</v>
      </c>
      <c r="EK39" s="36">
        <f t="shared" si="6"/>
        <v>6</v>
      </c>
      <c r="EL39" s="36">
        <f t="shared" si="7"/>
        <v>-4</v>
      </c>
      <c r="EM39" s="36">
        <f t="shared" si="8"/>
        <v>4</v>
      </c>
      <c r="EN39" s="36">
        <f t="shared" si="9"/>
        <v>-1</v>
      </c>
      <c r="EO39" s="36">
        <f t="shared" si="10"/>
        <v>-4</v>
      </c>
      <c r="EP39" s="36">
        <f t="shared" si="11"/>
        <v>-1</v>
      </c>
      <c r="EQ39" s="36">
        <f t="shared" si="12"/>
        <v>-4</v>
      </c>
      <c r="ER39" s="36">
        <f t="shared" si="13"/>
        <v>6</v>
      </c>
      <c r="ES39" s="36">
        <f t="shared" si="14"/>
        <v>4</v>
      </c>
      <c r="ET39" s="36">
        <f>SUM(EJ39:ES39)+0.004</f>
        <v>4.0000000000000001E-3</v>
      </c>
      <c r="EU39" s="36">
        <f t="shared" si="15"/>
        <v>12</v>
      </c>
      <c r="EV39" s="36" t="s">
        <v>15</v>
      </c>
      <c r="EW39" s="36">
        <f t="shared" si="16"/>
        <v>0</v>
      </c>
      <c r="EX39" s="36">
        <f t="shared" si="16"/>
        <v>0</v>
      </c>
      <c r="EY39" s="36">
        <f t="shared" si="16"/>
        <v>0</v>
      </c>
      <c r="EZ39" s="36">
        <f t="shared" si="16"/>
        <v>4</v>
      </c>
      <c r="FA39" s="36">
        <f t="shared" si="16"/>
        <v>6</v>
      </c>
      <c r="FB39" s="36" t="s">
        <v>15</v>
      </c>
      <c r="FC39" s="37" t="str">
        <f>INDEX($EI$31:$ES$42,MATCH(4,$EU$31:$EU$42,0),1)</f>
        <v>Michigan</v>
      </c>
      <c r="FD39" s="36">
        <f t="shared" si="17"/>
        <v>182.005</v>
      </c>
      <c r="FE39" s="36">
        <f t="shared" si="18"/>
        <v>1</v>
      </c>
      <c r="FF39" s="36">
        <f t="shared" si="19"/>
        <v>3</v>
      </c>
      <c r="FG39" s="36">
        <f t="shared" si="20"/>
        <v>4</v>
      </c>
      <c r="FH39" s="36">
        <f t="shared" si="21"/>
        <v>1</v>
      </c>
      <c r="FI39" s="36">
        <f t="shared" si="22"/>
        <v>1</v>
      </c>
      <c r="FJ39" s="36" t="s">
        <v>15</v>
      </c>
      <c r="FK39" s="33">
        <f t="shared" si="23"/>
        <v>3</v>
      </c>
      <c r="FL39" s="37" t="str">
        <f>ER30</f>
        <v>Housing</v>
      </c>
      <c r="FM39" s="33" t="str">
        <f>IFERROR( VLOOKUP(L$14,$EF$32:$EG$34,1,FALSE),0)</f>
        <v>High</v>
      </c>
      <c r="FN39" s="33" t="str">
        <f>VLOOKUP($FC42,$C$15:$M$26,10,FALSE)</f>
        <v>✮✮</v>
      </c>
      <c r="FO39" s="40">
        <f>IF(FM39="High",30,IF(FM39="Medium",20,10))+LEN(FN39)+0.009</f>
        <v>32.009</v>
      </c>
      <c r="FP39" s="33">
        <v>9</v>
      </c>
    </row>
    <row r="40" spans="1:172" x14ac:dyDescent="0.3">
      <c r="A40" s="2"/>
      <c r="D40" s="99"/>
      <c r="E40" s="99"/>
      <c r="F40" s="99"/>
      <c r="G40" s="99"/>
      <c r="H40" s="99"/>
      <c r="EF40" s="37" t="s">
        <v>13</v>
      </c>
      <c r="EG40" s="36">
        <v>3</v>
      </c>
      <c r="EH40" s="36" t="s">
        <v>15</v>
      </c>
      <c r="EI40" s="37" t="str">
        <f t="shared" si="4"/>
        <v>Penn State</v>
      </c>
      <c r="EJ40" s="36">
        <f t="shared" si="5"/>
        <v>-6</v>
      </c>
      <c r="EK40" s="36">
        <f t="shared" si="6"/>
        <v>-6</v>
      </c>
      <c r="EL40" s="36">
        <f t="shared" si="7"/>
        <v>4</v>
      </c>
      <c r="EM40" s="36">
        <f t="shared" si="8"/>
        <v>28</v>
      </c>
      <c r="EN40" s="36">
        <f t="shared" si="9"/>
        <v>7</v>
      </c>
      <c r="EO40" s="36">
        <f t="shared" si="10"/>
        <v>28</v>
      </c>
      <c r="EP40" s="36">
        <f t="shared" si="11"/>
        <v>-1</v>
      </c>
      <c r="EQ40" s="36">
        <f t="shared" si="12"/>
        <v>12</v>
      </c>
      <c r="ER40" s="36">
        <f t="shared" si="13"/>
        <v>60</v>
      </c>
      <c r="ES40" s="36">
        <f t="shared" si="14"/>
        <v>28</v>
      </c>
      <c r="ET40" s="36">
        <f>SUM(EJ40:ES40)+0.003</f>
        <v>154.00299999999999</v>
      </c>
      <c r="EU40" s="36">
        <f t="shared" si="15"/>
        <v>7</v>
      </c>
      <c r="EV40" s="36" t="s">
        <v>15</v>
      </c>
      <c r="EW40" s="36">
        <f t="shared" si="16"/>
        <v>1</v>
      </c>
      <c r="EX40" s="36">
        <f t="shared" si="16"/>
        <v>4</v>
      </c>
      <c r="EY40" s="36">
        <f t="shared" si="16"/>
        <v>1</v>
      </c>
      <c r="EZ40" s="36">
        <f t="shared" si="16"/>
        <v>1</v>
      </c>
      <c r="FA40" s="36">
        <f t="shared" si="16"/>
        <v>3</v>
      </c>
      <c r="FB40" s="36" t="s">
        <v>15</v>
      </c>
      <c r="FC40" s="37" t="str">
        <f>INDEX($EI$31:$ES$42,MATCH(3,$EU$31:$EU$42,0),1)</f>
        <v>USC</v>
      </c>
      <c r="FD40" s="36">
        <f t="shared" si="17"/>
        <v>196.00700000000001</v>
      </c>
      <c r="FE40" s="36">
        <f t="shared" si="18"/>
        <v>2</v>
      </c>
      <c r="FF40" s="36">
        <f t="shared" si="19"/>
        <v>3</v>
      </c>
      <c r="FG40" s="36">
        <f t="shared" si="20"/>
        <v>1</v>
      </c>
      <c r="FH40" s="36">
        <f t="shared" si="21"/>
        <v>2</v>
      </c>
      <c r="FI40" s="36">
        <f t="shared" si="22"/>
        <v>2</v>
      </c>
      <c r="FJ40" s="36" t="s">
        <v>15</v>
      </c>
      <c r="FK40" s="33">
        <f t="shared" si="23"/>
        <v>6</v>
      </c>
      <c r="FL40" s="37" t="str">
        <f>ES30</f>
        <v>Off-campus</v>
      </c>
      <c r="FM40" s="33" t="str">
        <f>IFERROR( VLOOKUP(M$14,$EF$32:$EG$34,1,FALSE),0)</f>
        <v>Medium</v>
      </c>
      <c r="FN40" s="33" t="str">
        <f>VLOOKUP($FC42,$C$15:$M$26,11,FALSE)</f>
        <v>✮✮✮✮</v>
      </c>
      <c r="FO40" s="40">
        <f>IF(FM40="High",30,IF(FM40="Medium",20,10))+LEN(FN40)</f>
        <v>24</v>
      </c>
      <c r="FP40" s="33">
        <v>10</v>
      </c>
    </row>
    <row r="41" spans="1:172" ht="16.8" x14ac:dyDescent="0.4">
      <c r="A41" s="2"/>
      <c r="D41" s="99"/>
      <c r="E41" s="100" t="s">
        <v>45</v>
      </c>
      <c r="F41" s="99"/>
      <c r="G41" s="99"/>
      <c r="H41" s="99"/>
      <c r="EF41" s="37" t="s">
        <v>14</v>
      </c>
      <c r="EG41" s="36">
        <v>1</v>
      </c>
      <c r="EH41" s="36" t="s">
        <v>15</v>
      </c>
      <c r="EI41" s="37" t="str">
        <f t="shared" si="4"/>
        <v>Oregon</v>
      </c>
      <c r="EJ41" s="36">
        <f t="shared" si="5"/>
        <v>-6</v>
      </c>
      <c r="EK41" s="36">
        <f t="shared" si="6"/>
        <v>42</v>
      </c>
      <c r="EL41" s="36">
        <f t="shared" si="7"/>
        <v>4</v>
      </c>
      <c r="EM41" s="36">
        <f t="shared" si="8"/>
        <v>-4</v>
      </c>
      <c r="EN41" s="36">
        <f t="shared" si="9"/>
        <v>3</v>
      </c>
      <c r="EO41" s="36">
        <f t="shared" si="10"/>
        <v>-4</v>
      </c>
      <c r="EP41" s="36">
        <f t="shared" si="11"/>
        <v>10</v>
      </c>
      <c r="EQ41" s="36">
        <f t="shared" si="12"/>
        <v>40</v>
      </c>
      <c r="ER41" s="36">
        <f t="shared" si="13"/>
        <v>60</v>
      </c>
      <c r="ES41" s="36">
        <f t="shared" si="14"/>
        <v>12</v>
      </c>
      <c r="ET41" s="36">
        <f>SUM(EJ41:ES41)+0.002</f>
        <v>157.00200000000001</v>
      </c>
      <c r="EU41" s="36">
        <f t="shared" si="15"/>
        <v>6</v>
      </c>
      <c r="EV41" s="36" t="s">
        <v>15</v>
      </c>
      <c r="EW41" s="36">
        <f t="shared" si="16"/>
        <v>3</v>
      </c>
      <c r="EX41" s="36">
        <f t="shared" si="16"/>
        <v>1</v>
      </c>
      <c r="EY41" s="36">
        <f t="shared" si="16"/>
        <v>2</v>
      </c>
      <c r="EZ41" s="36">
        <f t="shared" si="16"/>
        <v>1</v>
      </c>
      <c r="FA41" s="36">
        <f t="shared" si="16"/>
        <v>3</v>
      </c>
      <c r="FB41" s="36" t="s">
        <v>15</v>
      </c>
      <c r="FC41" s="37" t="str">
        <f>INDEX($EI$31:$ES$42,MATCH(2,$EU$31:$EU$42,0),1)</f>
        <v>Northwestern</v>
      </c>
      <c r="FD41" s="36">
        <f t="shared" si="17"/>
        <v>210.00800000000001</v>
      </c>
      <c r="FE41" s="36">
        <f t="shared" si="18"/>
        <v>1</v>
      </c>
      <c r="FF41" s="36">
        <f t="shared" si="19"/>
        <v>4</v>
      </c>
      <c r="FG41" s="36">
        <f t="shared" si="20"/>
        <v>2</v>
      </c>
      <c r="FH41" s="36">
        <f t="shared" si="21"/>
        <v>2</v>
      </c>
      <c r="FI41" s="36">
        <f t="shared" si="22"/>
        <v>1</v>
      </c>
      <c r="FJ41" s="36" t="s">
        <v>15</v>
      </c>
      <c r="FK41" s="33"/>
      <c r="FL41" s="37"/>
      <c r="FM41" s="33"/>
      <c r="FN41" s="33"/>
      <c r="FP41" s="33"/>
    </row>
    <row r="42" spans="1:172" x14ac:dyDescent="0.3">
      <c r="A42" s="2"/>
      <c r="D42" s="99"/>
      <c r="E42" s="99"/>
      <c r="F42" s="99"/>
      <c r="G42" s="99"/>
      <c r="H42" s="99"/>
      <c r="EF42" s="35" t="s">
        <v>10</v>
      </c>
      <c r="EG42" s="33">
        <v>-1</v>
      </c>
      <c r="EH42" s="36" t="s">
        <v>15</v>
      </c>
      <c r="EI42" s="37" t="str">
        <f t="shared" si="4"/>
        <v>Cal Tech</v>
      </c>
      <c r="EJ42" s="36">
        <f t="shared" si="5"/>
        <v>6</v>
      </c>
      <c r="EK42" s="36">
        <f t="shared" si="6"/>
        <v>18</v>
      </c>
      <c r="EL42" s="36">
        <f t="shared" si="7"/>
        <v>4</v>
      </c>
      <c r="EM42" s="36">
        <f t="shared" si="8"/>
        <v>4</v>
      </c>
      <c r="EN42" s="36">
        <f t="shared" si="9"/>
        <v>3</v>
      </c>
      <c r="EO42" s="36">
        <f t="shared" si="10"/>
        <v>28</v>
      </c>
      <c r="EP42" s="36">
        <f t="shared" si="11"/>
        <v>10</v>
      </c>
      <c r="EQ42" s="36">
        <f t="shared" si="12"/>
        <v>40</v>
      </c>
      <c r="ER42" s="36">
        <f t="shared" si="13"/>
        <v>-6</v>
      </c>
      <c r="ES42" s="36">
        <f t="shared" si="14"/>
        <v>40</v>
      </c>
      <c r="ET42" s="36">
        <f>SUM(EJ42:ES42)+0.001</f>
        <v>147.001</v>
      </c>
      <c r="EU42" s="36">
        <f t="shared" si="15"/>
        <v>8</v>
      </c>
      <c r="EV42" s="36" t="s">
        <v>15</v>
      </c>
      <c r="EW42" s="36">
        <f t="shared" si="16"/>
        <v>3</v>
      </c>
      <c r="EX42" s="36">
        <f t="shared" si="16"/>
        <v>1</v>
      </c>
      <c r="EY42" s="36">
        <f t="shared" si="16"/>
        <v>2</v>
      </c>
      <c r="EZ42" s="36">
        <f t="shared" si="16"/>
        <v>3</v>
      </c>
      <c r="FA42" s="36">
        <f t="shared" si="16"/>
        <v>1</v>
      </c>
      <c r="FB42" s="36" t="s">
        <v>15</v>
      </c>
      <c r="FC42" s="37" t="str">
        <f>INDEX($EI$31:$ES$42,MATCH(1,$EU$31:$EU$42,0),1)</f>
        <v>Cal</v>
      </c>
      <c r="FD42" s="36">
        <f t="shared" si="17"/>
        <v>221.011</v>
      </c>
      <c r="FE42" s="36">
        <f t="shared" si="18"/>
        <v>3</v>
      </c>
      <c r="FF42" s="36">
        <f t="shared" si="19"/>
        <v>3</v>
      </c>
      <c r="FG42" s="36">
        <f t="shared" si="20"/>
        <v>3</v>
      </c>
      <c r="FH42" s="36">
        <f t="shared" si="21"/>
        <v>1</v>
      </c>
      <c r="FI42" s="36">
        <f t="shared" si="22"/>
        <v>0</v>
      </c>
      <c r="FJ42" s="36" t="s">
        <v>15</v>
      </c>
      <c r="FK42" s="33"/>
      <c r="FL42" s="37"/>
      <c r="FM42" s="33"/>
      <c r="FN42" s="33"/>
      <c r="FO42" s="33"/>
      <c r="FP42" s="33"/>
    </row>
    <row r="43" spans="1:172" x14ac:dyDescent="0.3">
      <c r="A43" s="2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41" t="s">
        <v>6</v>
      </c>
      <c r="FD43" s="38">
        <f>FD42</f>
        <v>221.011</v>
      </c>
      <c r="FE43" s="36">
        <v>2</v>
      </c>
      <c r="FF43" s="36">
        <v>2</v>
      </c>
      <c r="FG43" s="36">
        <v>2</v>
      </c>
      <c r="FH43" s="36">
        <v>2</v>
      </c>
      <c r="FI43" s="36">
        <v>2</v>
      </c>
      <c r="FJ43" s="36" t="s">
        <v>15</v>
      </c>
      <c r="FK43" s="33"/>
      <c r="FL43" s="35"/>
      <c r="FM43" s="33"/>
      <c r="FN43" s="33"/>
      <c r="FO43" s="33"/>
      <c r="FP43" s="33"/>
    </row>
    <row r="44" spans="1:172" x14ac:dyDescent="0.3">
      <c r="A44" s="2"/>
      <c r="EF44" s="35"/>
      <c r="EG44" s="33"/>
      <c r="EH44" s="33"/>
      <c r="EI44" s="35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5"/>
      <c r="FD44" s="33"/>
      <c r="FE44" s="33"/>
      <c r="FF44" s="33"/>
      <c r="FG44" s="33"/>
      <c r="FH44" s="33"/>
      <c r="FI44" s="33"/>
      <c r="FJ44" s="33"/>
      <c r="FK44" s="33"/>
      <c r="FL44" s="35"/>
      <c r="FM44" s="33"/>
      <c r="FN44" s="33"/>
      <c r="FO44" s="33"/>
      <c r="FP44" s="33"/>
    </row>
    <row r="45" spans="1:172" x14ac:dyDescent="0.3">
      <c r="A45" s="2"/>
      <c r="EF45" s="35"/>
      <c r="EG45" s="33"/>
      <c r="EH45" s="33"/>
      <c r="EI45" s="35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5"/>
      <c r="FD45" s="33"/>
      <c r="FE45" s="36"/>
      <c r="FF45" s="36"/>
      <c r="FG45" s="36"/>
      <c r="FH45" s="36"/>
      <c r="FI45" s="36"/>
      <c r="FJ45" s="33"/>
      <c r="FK45" s="33"/>
      <c r="FL45" s="35"/>
      <c r="FM45" s="33"/>
      <c r="FN45" s="33"/>
      <c r="FO45" s="33"/>
      <c r="FP45" s="33"/>
    </row>
    <row r="46" spans="1:172" x14ac:dyDescent="0.3">
      <c r="A46" s="2"/>
      <c r="EF46" s="35"/>
      <c r="EG46" s="33"/>
      <c r="EH46" s="33"/>
      <c r="EI46" s="35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5"/>
      <c r="FD46" s="33"/>
      <c r="FE46" s="36"/>
      <c r="FF46" s="36"/>
      <c r="FG46" s="36"/>
      <c r="FH46" s="36"/>
      <c r="FI46" s="36"/>
      <c r="FJ46" s="33"/>
      <c r="FK46" s="33"/>
      <c r="FL46" s="35"/>
      <c r="FM46" s="33"/>
      <c r="FN46" s="33"/>
      <c r="FO46" s="33"/>
      <c r="FP46" s="33"/>
    </row>
    <row r="47" spans="1:172" x14ac:dyDescent="0.3">
      <c r="A47" s="2"/>
      <c r="EF47" s="35"/>
      <c r="EG47" s="33"/>
      <c r="EH47" s="33"/>
      <c r="EI47" s="35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5"/>
      <c r="FD47" s="33"/>
      <c r="FE47" s="36"/>
      <c r="FF47" s="36"/>
      <c r="FG47" s="36"/>
      <c r="FH47" s="36"/>
      <c r="FI47" s="36"/>
      <c r="FJ47" s="33"/>
      <c r="FK47" s="33"/>
      <c r="FL47" s="35"/>
      <c r="FM47" s="33"/>
      <c r="FN47" s="33"/>
      <c r="FO47" s="33"/>
      <c r="FP47" s="33"/>
    </row>
    <row r="48" spans="1:172" x14ac:dyDescent="0.3">
      <c r="A48" s="2"/>
      <c r="EF48" s="35"/>
      <c r="EG48" s="33"/>
      <c r="EH48" s="33"/>
      <c r="EI48" s="35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5"/>
      <c r="FD48" s="33"/>
      <c r="FE48" s="36"/>
      <c r="FF48" s="36"/>
      <c r="FG48" s="36"/>
      <c r="FH48" s="36"/>
      <c r="FI48" s="36"/>
      <c r="FJ48" s="33"/>
      <c r="FK48" s="33"/>
      <c r="FL48" s="35"/>
      <c r="FM48" s="33"/>
      <c r="FN48" s="33"/>
      <c r="FO48" s="33"/>
      <c r="FP48" s="33"/>
    </row>
    <row r="49" spans="1:172" x14ac:dyDescent="0.3">
      <c r="A49" s="2"/>
      <c r="EF49" s="35"/>
      <c r="EG49" s="33"/>
      <c r="EH49" s="33"/>
      <c r="EI49" s="35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5"/>
      <c r="FD49" s="33"/>
      <c r="FE49" s="36"/>
      <c r="FF49" s="36"/>
      <c r="FG49" s="36"/>
      <c r="FH49" s="36"/>
      <c r="FI49" s="36"/>
      <c r="FJ49" s="33"/>
      <c r="FK49" s="33"/>
      <c r="FL49" s="35"/>
      <c r="FM49" s="33"/>
      <c r="FN49" s="33"/>
      <c r="FO49" s="33"/>
      <c r="FP49" s="33"/>
    </row>
    <row r="50" spans="1:172" x14ac:dyDescent="0.3">
      <c r="A50" s="7"/>
      <c r="D50" s="7"/>
      <c r="EF50" s="35"/>
      <c r="EG50" s="33"/>
      <c r="EH50" s="33"/>
      <c r="EI50" s="35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5"/>
      <c r="FD50" s="33"/>
      <c r="FE50" s="36"/>
      <c r="FF50" s="36"/>
      <c r="FG50" s="36"/>
      <c r="FH50" s="36"/>
      <c r="FI50" s="36"/>
      <c r="FJ50" s="33"/>
      <c r="FK50" s="33"/>
      <c r="FL50" s="35"/>
      <c r="FM50" s="33"/>
      <c r="FN50" s="33"/>
      <c r="FO50" s="33"/>
      <c r="FP50" s="33"/>
    </row>
    <row r="51" spans="1:172" x14ac:dyDescent="0.3">
      <c r="A51" s="7"/>
      <c r="B51" s="7"/>
      <c r="D51" s="7"/>
      <c r="FE51" s="36"/>
      <c r="FF51" s="36"/>
      <c r="FG51" s="36"/>
      <c r="FH51" s="36"/>
      <c r="FI51" s="36"/>
    </row>
    <row r="52" spans="1:172" x14ac:dyDescent="0.3">
      <c r="A52" s="7"/>
      <c r="B52" s="7"/>
      <c r="D52" s="7"/>
      <c r="FE52" s="36"/>
      <c r="FF52" s="36"/>
      <c r="FG52" s="36"/>
      <c r="FH52" s="36"/>
      <c r="FI52" s="36"/>
    </row>
    <row r="53" spans="1:172" x14ac:dyDescent="0.3">
      <c r="A53" s="7"/>
      <c r="B53" s="7"/>
      <c r="D53" s="7"/>
      <c r="FE53" s="36"/>
      <c r="FF53" s="36"/>
      <c r="FG53" s="36"/>
      <c r="FH53" s="36"/>
      <c r="FI53" s="36"/>
    </row>
    <row r="54" spans="1:172" x14ac:dyDescent="0.3">
      <c r="B54" s="7"/>
      <c r="C54" s="8"/>
      <c r="D54" s="2"/>
      <c r="J54" s="2"/>
      <c r="K54" s="2"/>
      <c r="L54" s="2"/>
      <c r="M54" s="2"/>
      <c r="FE54" s="36"/>
      <c r="FF54" s="36"/>
      <c r="FG54" s="36"/>
      <c r="FH54" s="36"/>
      <c r="FI54" s="36"/>
    </row>
    <row r="55" spans="1:172" x14ac:dyDescent="0.3">
      <c r="C55" s="8"/>
      <c r="D55" s="2"/>
      <c r="J55" s="2"/>
      <c r="K55" s="2"/>
      <c r="L55" s="2"/>
      <c r="M55" s="2"/>
      <c r="FE55" s="36"/>
      <c r="FF55" s="36"/>
      <c r="FG55" s="36"/>
      <c r="FH55" s="36"/>
      <c r="FI55" s="36"/>
    </row>
    <row r="56" spans="1:172" x14ac:dyDescent="0.3">
      <c r="A56" s="7"/>
      <c r="D56" s="7"/>
      <c r="FE56" s="36"/>
      <c r="FF56" s="36"/>
      <c r="FG56" s="36"/>
      <c r="FH56" s="36"/>
      <c r="FI56" s="36"/>
    </row>
    <row r="57" spans="1:172" x14ac:dyDescent="0.3">
      <c r="B57" s="7"/>
      <c r="FE57" s="42"/>
      <c r="FF57" s="42"/>
      <c r="FG57" s="42"/>
      <c r="FH57" s="42"/>
      <c r="FI57" s="42"/>
    </row>
    <row r="58" spans="1:172" x14ac:dyDescent="0.3">
      <c r="G58" s="11"/>
      <c r="H58" s="11"/>
      <c r="FF58" s="36"/>
    </row>
    <row r="59" spans="1:172" x14ac:dyDescent="0.3">
      <c r="A59" s="7"/>
      <c r="D59" s="3"/>
    </row>
    <row r="60" spans="1:172" x14ac:dyDescent="0.3">
      <c r="B60" s="7"/>
    </row>
    <row r="61" spans="1:172" x14ac:dyDescent="0.3">
      <c r="F61" s="2"/>
    </row>
    <row r="62" spans="1:172" x14ac:dyDescent="0.3">
      <c r="A62" s="2"/>
      <c r="D62" s="11"/>
      <c r="E62" s="2"/>
      <c r="F62" s="2"/>
      <c r="G62" s="13"/>
      <c r="H62" s="13"/>
      <c r="I62" s="2"/>
      <c r="J62" s="2"/>
      <c r="K62" s="2"/>
      <c r="L62" s="2"/>
      <c r="M62" s="2"/>
    </row>
    <row r="63" spans="1:172" x14ac:dyDescent="0.3">
      <c r="A63" s="2"/>
      <c r="B63" s="2"/>
      <c r="C63" s="2"/>
      <c r="D63" s="10"/>
      <c r="E63" s="2"/>
      <c r="G63" s="13"/>
      <c r="H63" s="13"/>
      <c r="I63" s="2"/>
      <c r="J63" s="2"/>
      <c r="K63" s="2"/>
      <c r="L63" s="2"/>
      <c r="M63" s="2"/>
    </row>
    <row r="64" spans="1:172" x14ac:dyDescent="0.3">
      <c r="A64" s="7"/>
      <c r="B64" s="2"/>
      <c r="D64" s="3"/>
    </row>
    <row r="65" spans="1:13" x14ac:dyDescent="0.3">
      <c r="A65" s="7"/>
      <c r="B65" s="7"/>
      <c r="D65" s="3"/>
    </row>
    <row r="66" spans="1:13" x14ac:dyDescent="0.3">
      <c r="B66" s="7"/>
    </row>
    <row r="68" spans="1:13" x14ac:dyDescent="0.3">
      <c r="A68" s="7"/>
      <c r="D68" s="4"/>
    </row>
    <row r="69" spans="1:13" x14ac:dyDescent="0.3">
      <c r="A69" s="7"/>
      <c r="B69" s="7"/>
    </row>
    <row r="70" spans="1:13" x14ac:dyDescent="0.3">
      <c r="A70" s="7"/>
      <c r="B70" s="7"/>
    </row>
    <row r="71" spans="1:13" x14ac:dyDescent="0.3">
      <c r="A71" s="7"/>
      <c r="B71" s="7"/>
      <c r="F71" s="7"/>
    </row>
    <row r="72" spans="1:13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</row>
    <row r="77" spans="1:13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</row>
    <row r="78" spans="1:13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3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9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9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</row>
    <row r="83" spans="1:19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</row>
    <row r="84" spans="1:19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9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9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</row>
    <row r="87" spans="1:19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</row>
    <row r="88" spans="1:19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9" x14ac:dyDescent="0.3">
      <c r="A89" s="7"/>
      <c r="B89" s="7"/>
      <c r="C89" s="7"/>
      <c r="D89" s="7"/>
      <c r="E89" s="7"/>
      <c r="G89" s="7"/>
      <c r="H89" s="7"/>
      <c r="I89" s="7"/>
      <c r="J89" s="7"/>
      <c r="K89" s="7"/>
      <c r="L89" s="7"/>
      <c r="M89" s="7"/>
    </row>
    <row r="90" spans="1:19" x14ac:dyDescent="0.3">
      <c r="B90" s="7"/>
    </row>
    <row r="94" spans="1:19" x14ac:dyDescent="0.3">
      <c r="F94" s="2"/>
    </row>
    <row r="95" spans="1:19" x14ac:dyDescent="0.3">
      <c r="A95" s="2"/>
      <c r="C95" s="2"/>
      <c r="D95" s="2"/>
      <c r="E95" s="2"/>
      <c r="G95" s="2"/>
      <c r="H95" s="2"/>
      <c r="I95" s="2"/>
      <c r="J95" s="2"/>
      <c r="K95" s="2"/>
      <c r="L95" s="2"/>
      <c r="M95" s="2"/>
      <c r="Q95" s="5"/>
      <c r="R95" s="5"/>
      <c r="S95" s="5"/>
    </row>
    <row r="96" spans="1:19" x14ac:dyDescent="0.3">
      <c r="B96" s="2"/>
    </row>
    <row r="97" spans="14:60" x14ac:dyDescent="0.3">
      <c r="N97" s="5"/>
      <c r="O97" s="5"/>
      <c r="BH97" s="5"/>
    </row>
    <row r="98" spans="14:60" x14ac:dyDescent="0.3">
      <c r="P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</row>
    <row r="116" spans="4:13" x14ac:dyDescent="0.3">
      <c r="F116" s="2"/>
    </row>
    <row r="117" spans="4:13" x14ac:dyDescent="0.3">
      <c r="D117" s="2"/>
      <c r="E117" s="2"/>
      <c r="F117" s="2"/>
      <c r="I117" s="2"/>
      <c r="J117" s="2"/>
      <c r="K117" s="2"/>
      <c r="L117" s="2"/>
      <c r="M117" s="2"/>
    </row>
    <row r="118" spans="4:13" x14ac:dyDescent="0.3">
      <c r="D118" s="2"/>
      <c r="E118" s="2"/>
      <c r="F118" s="2"/>
      <c r="I118" s="2"/>
      <c r="J118" s="2"/>
      <c r="K118" s="2"/>
      <c r="L118" s="2"/>
      <c r="M118" s="2"/>
    </row>
    <row r="119" spans="4:13" x14ac:dyDescent="0.3">
      <c r="D119" s="2"/>
      <c r="E119" s="2"/>
      <c r="F119" s="2"/>
      <c r="I119" s="2"/>
      <c r="J119" s="2"/>
      <c r="K119" s="2"/>
      <c r="L119" s="2"/>
      <c r="M119" s="2"/>
    </row>
    <row r="120" spans="4:13" x14ac:dyDescent="0.3">
      <c r="D120" s="2"/>
      <c r="E120" s="2"/>
      <c r="I120" s="2"/>
      <c r="J120" s="2"/>
      <c r="K120" s="2"/>
      <c r="L120" s="2"/>
      <c r="M120" s="2"/>
    </row>
    <row r="121" spans="4:13" x14ac:dyDescent="0.3">
      <c r="D121" s="2"/>
      <c r="E121" s="2"/>
      <c r="F121" s="2"/>
      <c r="H121" s="15"/>
      <c r="I121" s="2"/>
      <c r="J121" s="2"/>
      <c r="K121" s="2"/>
      <c r="L121" s="2"/>
      <c r="M121" s="2"/>
    </row>
    <row r="122" spans="4:13" x14ac:dyDescent="0.3"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4:13" x14ac:dyDescent="0.3"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4:13" x14ac:dyDescent="0.3"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4:13" x14ac:dyDescent="0.3"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4:13" x14ac:dyDescent="0.3"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4:13" x14ac:dyDescent="0.3"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4:13" x14ac:dyDescent="0.3"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4:13" x14ac:dyDescent="0.3"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4:13" x14ac:dyDescent="0.3"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4:13" x14ac:dyDescent="0.3"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4:13" x14ac:dyDescent="0.3"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4:13" x14ac:dyDescent="0.3"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4:13" x14ac:dyDescent="0.3"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4:13" x14ac:dyDescent="0.3"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4:13" x14ac:dyDescent="0.3"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4:13" x14ac:dyDescent="0.3"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4:13" x14ac:dyDescent="0.3">
      <c r="D138" s="2"/>
      <c r="E138" s="2"/>
      <c r="F138" s="2"/>
      <c r="I138" s="2"/>
      <c r="J138" s="2"/>
      <c r="K138" s="2"/>
      <c r="L138" s="2"/>
      <c r="M138" s="2"/>
    </row>
    <row r="139" spans="4:13" x14ac:dyDescent="0.3">
      <c r="D139" s="2"/>
      <c r="E139" s="2"/>
      <c r="F139" s="2"/>
      <c r="I139" s="2"/>
      <c r="J139" s="2"/>
      <c r="K139" s="2"/>
      <c r="L139" s="2"/>
      <c r="M139" s="2"/>
    </row>
    <row r="140" spans="4:13" x14ac:dyDescent="0.3">
      <c r="D140" s="2"/>
      <c r="E140" s="2"/>
      <c r="F140" s="2"/>
      <c r="I140" s="2"/>
      <c r="J140" s="2"/>
      <c r="K140" s="2"/>
      <c r="L140" s="2"/>
      <c r="M140" s="2"/>
    </row>
    <row r="141" spans="4:13" x14ac:dyDescent="0.3">
      <c r="D141" s="2"/>
      <c r="E141" s="2"/>
      <c r="F141" s="2"/>
      <c r="I141" s="2"/>
      <c r="J141" s="2"/>
      <c r="K141" s="2"/>
      <c r="L141" s="2"/>
      <c r="M141" s="2"/>
    </row>
    <row r="142" spans="4:13" x14ac:dyDescent="0.3">
      <c r="D142" s="2"/>
      <c r="E142" s="2"/>
      <c r="F142" s="2"/>
      <c r="I142" s="2"/>
      <c r="J142" s="2"/>
      <c r="K142" s="2"/>
      <c r="L142" s="2"/>
      <c r="M142" s="2"/>
    </row>
    <row r="143" spans="4:13" x14ac:dyDescent="0.3">
      <c r="D143" s="2"/>
      <c r="E143" s="2"/>
      <c r="F143" s="2"/>
      <c r="I143" s="2"/>
      <c r="J143" s="2"/>
      <c r="K143" s="2"/>
      <c r="L143" s="2"/>
      <c r="M143" s="2"/>
    </row>
    <row r="144" spans="4:13" x14ac:dyDescent="0.3">
      <c r="D144" s="2"/>
      <c r="E144" s="2"/>
      <c r="F144" s="2"/>
      <c r="I144" s="2"/>
      <c r="J144" s="2"/>
      <c r="K144" s="2"/>
      <c r="L144" s="2"/>
      <c r="M144" s="2"/>
    </row>
    <row r="145" spans="4:13" x14ac:dyDescent="0.3">
      <c r="D145" s="2"/>
      <c r="E145" s="2"/>
      <c r="F145" s="2"/>
      <c r="I145" s="2"/>
      <c r="J145" s="2"/>
      <c r="K145" s="2"/>
      <c r="L145" s="2"/>
      <c r="M145" s="2"/>
    </row>
    <row r="146" spans="4:13" x14ac:dyDescent="0.3"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4:13" x14ac:dyDescent="0.3"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4:13" x14ac:dyDescent="0.3"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4:13" x14ac:dyDescent="0.3"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4:13" x14ac:dyDescent="0.3"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4:13" x14ac:dyDescent="0.3"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4:13" x14ac:dyDescent="0.3"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4:13" x14ac:dyDescent="0.3"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4:13" x14ac:dyDescent="0.3"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4:13" x14ac:dyDescent="0.3"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4:13" x14ac:dyDescent="0.3">
      <c r="D156" s="2"/>
      <c r="E156" s="2"/>
      <c r="G156" s="2"/>
      <c r="H156" s="2"/>
      <c r="I156" s="2"/>
      <c r="J156" s="2"/>
      <c r="K156" s="2"/>
      <c r="L156" s="2"/>
      <c r="M156" s="2"/>
    </row>
  </sheetData>
  <sheetProtection algorithmName="SHA-512" hashValue="iZo9AD0Udld1SXikly2Sp9BL+88ZqaR2qxuSMncKdzkTXUGZP+BomO+qss/C/tPIb3uibrJ9FVYbMFbCPdFxKg==" saltValue="FTuav7InYdsJFEEzHbkcsQ==" spinCount="100000" sheet="1" objects="1" scenarios="1" selectLockedCells="1"/>
  <sortState xmlns:xlrd2="http://schemas.microsoft.com/office/spreadsheetml/2017/richdata2" ref="C13:D37">
    <sortCondition ref="C13:C37"/>
  </sortState>
  <mergeCells count="16">
    <mergeCell ref="BS7:BU8"/>
    <mergeCell ref="BK8:BK9"/>
    <mergeCell ref="BI8:BI9"/>
    <mergeCell ref="BI4:BK5"/>
    <mergeCell ref="BI6:BI7"/>
    <mergeCell ref="BM7:BQ8"/>
    <mergeCell ref="I12:I13"/>
    <mergeCell ref="J12:J13"/>
    <mergeCell ref="K12:K13"/>
    <mergeCell ref="L12:L13"/>
    <mergeCell ref="M12:M13"/>
    <mergeCell ref="D12:D13"/>
    <mergeCell ref="E12:E13"/>
    <mergeCell ref="F12:F13"/>
    <mergeCell ref="G12:G13"/>
    <mergeCell ref="H12:H13"/>
  </mergeCells>
  <phoneticPr fontId="7" type="noConversion"/>
  <conditionalFormatting sqref="BT10:BT19">
    <cfRule type="expression" dxfId="13" priority="7">
      <formula>IF(BT10="Essential",TRUE,FALSE)</formula>
    </cfRule>
    <cfRule type="expression" dxfId="12" priority="8">
      <formula>IF(BT10="Important",TRUE,FALSE)</formula>
    </cfRule>
    <cfRule type="expression" dxfId="11" priority="9">
      <formula>IF(BT10="Nice-to-Have",TRUE,FALSE)</formula>
    </cfRule>
  </conditionalFormatting>
  <conditionalFormatting sqref="BU10:BU19">
    <cfRule type="expression" dxfId="10" priority="3">
      <formula>IF(BU10="Poor",TRUE,FALSE)</formula>
    </cfRule>
    <cfRule type="expression" dxfId="9" priority="4">
      <formula>IF(BU10="Fair",TRUE,FALSE)</formula>
    </cfRule>
    <cfRule type="expression" dxfId="8" priority="5">
      <formula>IF(BU10="Good",TRUE,FALSE)</formula>
    </cfRule>
    <cfRule type="expression" dxfId="7" priority="6">
      <formula>IF(BU10="Excellent",TRUE,FALSE)</formula>
    </cfRule>
  </conditionalFormatting>
  <conditionalFormatting sqref="EF29:FM29">
    <cfRule type="expression" dxfId="6" priority="31">
      <formula>IF(EF29="Essential",TRUE,FALSE)</formula>
    </cfRule>
    <cfRule type="expression" dxfId="5" priority="32">
      <formula>IF(EF29="Important",TRUE,FALSE)</formula>
    </cfRule>
    <cfRule type="expression" dxfId="4" priority="33">
      <formula>IF(EF29="Nice-to-Have",TRUE,FALSE)</formula>
    </cfRule>
  </conditionalFormatting>
  <conditionalFormatting sqref="FN29">
    <cfRule type="expression" dxfId="3" priority="27">
      <formula>IF(FN29="Poor",TRUE,FALSE)</formula>
    </cfRule>
    <cfRule type="expression" dxfId="2" priority="28">
      <formula>IF(FN29="Fair",TRUE,FALSE)</formula>
    </cfRule>
    <cfRule type="expression" dxfId="1" priority="29">
      <formula>IF(FN29="Good",TRUE,FALSE)</formula>
    </cfRule>
    <cfRule type="expression" dxfId="0" priority="30">
      <formula>IF(FN29="Excellent",TRUE,FALSE)</formula>
    </cfRule>
  </conditionalFormatting>
  <conditionalFormatting sqref="FO29">
    <cfRule type="colorScale" priority="49">
      <colorScale>
        <cfvo type="min"/>
        <cfvo type="percentile" val="50"/>
        <cfvo type="max"/>
        <color rgb="FFF2F2F2"/>
        <color rgb="FFCECECE"/>
        <color rgb="FFA6A6A6"/>
      </colorScale>
    </cfRule>
  </conditionalFormatting>
  <dataValidations count="2">
    <dataValidation type="list" allowBlank="1" showInputMessage="1" showErrorMessage="1" error="Please select from list" sqref="D14:M14" xr:uid="{966744E2-BE7C-4144-9B40-06B304BBE0BD}">
      <formula1>$EF$31:$EF$34</formula1>
    </dataValidation>
    <dataValidation type="list" showInputMessage="1" showErrorMessage="1" error="Please select from list" sqref="D15:M26" xr:uid="{43688E95-4FC6-4592-9EA5-9D9D9BEE3222}">
      <formula1>$EF$37:$EF$42</formula1>
    </dataValidation>
  </dataValidations>
  <printOptions horizontalCentered="1"/>
  <pageMargins left="0.5" right="0.5" top="0.75" bottom="0.5" header="0.5" footer="0.5"/>
  <pageSetup scale="77" fitToHeight="2" orientation="landscape" verticalDpi="1200" r:id="rId1"/>
  <headerFooter scaleWithDoc="0"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DecisionMaker</vt:lpstr>
      <vt:lpstr>DecisionMaker!Print_Area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2026-10-04T22:42:54Z</dcterms:created>
  <dcterms:modified xsi:type="dcterms:W3CDTF">2026-10-04T22:43:26Z</dcterms:modified>
</cp:coreProperties>
</file>