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xl/drawings/drawing8.xml" ContentType="application/vnd.openxmlformats-officedocument.drawing+xml"/>
  <Override PartName="/xl/comments8.xml" ContentType="application/vnd.openxmlformats-officedocument.spreadsheetml.comments+xml"/>
  <Override PartName="/xl/drawings/drawing9.xml" ContentType="application/vnd.openxmlformats-officedocument.drawing+xml"/>
  <Override PartName="/xl/comments9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0.xml" ContentType="application/vnd.openxmlformats-officedocument.drawing+xml"/>
  <Override PartName="/xl/comments10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13_ncr:1_{FAF611F8-F6ED-4E85-AF91-4ACF19E1ADC7}" xr6:coauthVersionLast="47" xr6:coauthVersionMax="47" xr10:uidLastSave="{00000000-0000-0000-0000-000000000000}"/>
  <bookViews>
    <workbookView xWindow="22932" yWindow="-108" windowWidth="23256" windowHeight="13176" xr2:uid="{E7C35CB0-5940-4E33-9ECB-77002E4CDA91}"/>
  </bookViews>
  <sheets>
    <sheet name="ℹ️ " sheetId="11" r:id="rId1"/>
    <sheet name="Drivers" sheetId="10" r:id="rId2"/>
    <sheet name="Credit" sheetId="9" r:id="rId3"/>
    <sheet name="CapEx" sheetId="8" r:id="rId4"/>
    <sheet name="Income" sheetId="7" r:id="rId5"/>
    <sheet name="Balance" sheetId="6" r:id="rId6"/>
    <sheet name="Cash" sheetId="5" r:id="rId7"/>
    <sheet name="Valuation" sheetId="4" r:id="rId8"/>
    <sheet name="Analysis" sheetId="3" r:id="rId9"/>
    <sheet name="Summary" sheetId="1" r:id="rId10"/>
  </sheets>
  <definedNames>
    <definedName name="CapexAmount">Drivers!$K$7:$K$66</definedName>
    <definedName name="CapexCategory">Drivers!$I$7:$I$66</definedName>
    <definedName name="CapexMonth">Drivers!$J$7:$J$66</definedName>
    <definedName name="CapexSalvage">Drivers!$M$7:$M$66</definedName>
    <definedName name="CapexSalvageMonth">Drivers!$L$7:$L$66</definedName>
    <definedName name="COGS">Drivers!$Z$7:$Z$66</definedName>
    <definedName name="cogsBase">Summary!$BS$11</definedName>
    <definedName name="CogsCAGR">Drivers!$AA$7:$AA$66</definedName>
    <definedName name="DepExp">Drivers!$Q$7:$Q$66</definedName>
    <definedName name="DepStop">Drivers!$O$7:$O$66</definedName>
    <definedName name="InventoryPct">Drivers!$AL$28</definedName>
    <definedName name="MinCash">Drivers!$AL$26</definedName>
    <definedName name="Overhead">Drivers!$AC$7:$AC$66</definedName>
    <definedName name="OverheadCAGR">Drivers!$AD$7:$AD$66</definedName>
    <definedName name="overheadCagrWgtd">Summary!$BU$12</definedName>
    <definedName name="PayBonus">Drivers!$AH$7:$AH$66</definedName>
    <definedName name="payBonusWgtd">Summary!$BS$14</definedName>
    <definedName name="PayCAGR">Drivers!$AI$7:$AI$66</definedName>
    <definedName name="payCagrWgtd">Summary!$BU$13</definedName>
    <definedName name="PayCommissions">Drivers!$AL$29</definedName>
    <definedName name="PayFTE">Drivers!$AF$7:$AF$66</definedName>
    <definedName name="PayLoad">Drivers!$AL$30</definedName>
    <definedName name="PaySalary">Drivers!$AG$7:$AG$66</definedName>
    <definedName name="paySalaryWgtd">Summary!$BS$13</definedName>
    <definedName name="Price">Drivers!$X$7:$X$66</definedName>
    <definedName name="priceBase">Summary!$BS$10</definedName>
    <definedName name="PriceCAGR">Drivers!$Y$7:$Y$66</definedName>
    <definedName name="RateCredit">Drivers!$AL$17</definedName>
    <definedName name="RateEquity">Drivers!$AL$18</definedName>
    <definedName name="RateLong">Drivers!$AL$16</definedName>
    <definedName name="RateShort">Drivers!$AL$15</definedName>
    <definedName name="SalGain">Drivers!$T$7:$T$66</definedName>
    <definedName name="SalOff">Drivers!$R$7:$R$66</definedName>
    <definedName name="StartCommon">Drivers!$D$7</definedName>
    <definedName name="StartLong">Drivers!$F$7</definedName>
    <definedName name="StartPreferred">Drivers!$C$7</definedName>
    <definedName name="StartShort">Drivers!$E$7</definedName>
    <definedName name="Taxes">Drivers!$AL$27</definedName>
    <definedName name="TermsCollect30">Drivers!$AL$8</definedName>
    <definedName name="TermsCollect60">Drivers!$AL$9</definedName>
    <definedName name="TermsCollect90">Drivers!$AL$10</definedName>
    <definedName name="TermsCollectCash">Drivers!$AL$7</definedName>
    <definedName name="TermsPay30">Drivers!$AK$8</definedName>
    <definedName name="TermsPay60">Drivers!$AK$9</definedName>
    <definedName name="TermsPay90">Drivers!$AK$10</definedName>
    <definedName name="TermsPayCash">Drivers!$AK$7</definedName>
    <definedName name="Units">Drivers!$V$7:$V$66</definedName>
    <definedName name="unitsBase">Summary!$BS$9</definedName>
    <definedName name="UnitsCAGR">Drivers!$W$7:$W$66</definedName>
    <definedName name="unitsCMGR">Summary!$BT$9</definedName>
    <definedName name="ValEvEbitda">Drivers!$AL$21</definedName>
    <definedName name="ValPE">Drivers!$AL$22</definedName>
    <definedName name="ValTerminal">Drivers!$AL$23</definedName>
    <definedName name="ValWACC">Drivers!$AL$19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6" i="8" l="1" a="1"/>
  <c r="T6" i="8" s="1"/>
  <c r="S6" i="8" a="1"/>
  <c r="S6" i="8" s="1"/>
  <c r="O8" i="10"/>
  <c r="P8" i="10" s="1"/>
  <c r="R8" i="10"/>
  <c r="O9" i="10"/>
  <c r="P9" i="10" s="1"/>
  <c r="Q9" i="10" s="1"/>
  <c r="R9" i="10"/>
  <c r="O10" i="10"/>
  <c r="P10" i="10"/>
  <c r="Q10" i="10"/>
  <c r="R10" i="10"/>
  <c r="O11" i="10"/>
  <c r="P11" i="10" s="1"/>
  <c r="Q11" i="10" s="1"/>
  <c r="R11" i="10"/>
  <c r="O12" i="10"/>
  <c r="P12" i="10" s="1"/>
  <c r="R12" i="10"/>
  <c r="O13" i="10"/>
  <c r="P13" i="10"/>
  <c r="Q13" i="10" s="1"/>
  <c r="R13" i="10"/>
  <c r="O14" i="10"/>
  <c r="P14" i="10"/>
  <c r="Q14" i="10"/>
  <c r="R14" i="10"/>
  <c r="O15" i="10"/>
  <c r="P15" i="10"/>
  <c r="Q15" i="10" s="1"/>
  <c r="R15" i="10"/>
  <c r="O16" i="10"/>
  <c r="P16" i="10" s="1"/>
  <c r="Q16" i="10" s="1"/>
  <c r="T16" i="10" s="1"/>
  <c r="R16" i="10"/>
  <c r="S10" i="10" l="1"/>
  <c r="S14" i="10"/>
  <c r="Q12" i="10"/>
  <c r="T12" i="10" s="1"/>
  <c r="S11" i="10"/>
  <c r="T11" i="10"/>
  <c r="S15" i="10"/>
  <c r="T15" i="10"/>
  <c r="Q8" i="10"/>
  <c r="S8" i="10" s="1"/>
  <c r="S16" i="10"/>
  <c r="S13" i="10"/>
  <c r="S9" i="10"/>
  <c r="T14" i="10"/>
  <c r="T10" i="10"/>
  <c r="T13" i="10"/>
  <c r="T9" i="10"/>
  <c r="S12" i="10" l="1"/>
  <c r="T8" i="10"/>
  <c r="R30" i="10" l="1"/>
  <c r="O30" i="10"/>
  <c r="P30" i="10" s="1"/>
  <c r="R29" i="10"/>
  <c r="O29" i="10"/>
  <c r="P29" i="10" s="1"/>
  <c r="R28" i="10"/>
  <c r="O28" i="10"/>
  <c r="P28" i="10" s="1"/>
  <c r="R27" i="10"/>
  <c r="O27" i="10"/>
  <c r="P27" i="10" s="1"/>
  <c r="R26" i="10"/>
  <c r="O26" i="10"/>
  <c r="P26" i="10" s="1"/>
  <c r="R25" i="10"/>
  <c r="O25" i="10"/>
  <c r="P25" i="10" s="1"/>
  <c r="R24" i="10"/>
  <c r="O24" i="10"/>
  <c r="P24" i="10" s="1"/>
  <c r="R23" i="10"/>
  <c r="O23" i="10"/>
  <c r="P23" i="10" s="1"/>
  <c r="R22" i="10"/>
  <c r="O22" i="10"/>
  <c r="P22" i="10" s="1"/>
  <c r="R21" i="10"/>
  <c r="O21" i="10"/>
  <c r="P21" i="10" s="1"/>
  <c r="R20" i="10"/>
  <c r="O20" i="10"/>
  <c r="P20" i="10" s="1"/>
  <c r="R19" i="10"/>
  <c r="O19" i="10"/>
  <c r="P19" i="10" s="1"/>
  <c r="R18" i="10"/>
  <c r="O18" i="10"/>
  <c r="P18" i="10" s="1"/>
  <c r="R17" i="10"/>
  <c r="O17" i="10"/>
  <c r="P17" i="10" s="1"/>
  <c r="R7" i="10"/>
  <c r="O7" i="10"/>
  <c r="P7" i="10" s="1"/>
  <c r="BR10" i="9"/>
  <c r="BQ10" i="9"/>
  <c r="BP10" i="9"/>
  <c r="BO10" i="9"/>
  <c r="BN10" i="9"/>
  <c r="BM10" i="9"/>
  <c r="BL10" i="9"/>
  <c r="BK10" i="9"/>
  <c r="BJ10" i="9"/>
  <c r="BI10" i="9"/>
  <c r="BH10" i="9"/>
  <c r="BG10" i="9"/>
  <c r="BF10" i="9"/>
  <c r="BE10" i="9"/>
  <c r="BD10" i="9"/>
  <c r="BC10" i="9"/>
  <c r="BB10" i="9"/>
  <c r="BA10" i="9"/>
  <c r="AZ10" i="9"/>
  <c r="AY10" i="9"/>
  <c r="AX10" i="9"/>
  <c r="AW10" i="9"/>
  <c r="AV10" i="9"/>
  <c r="AU10" i="9"/>
  <c r="AT10" i="9"/>
  <c r="AS10" i="9"/>
  <c r="AR10" i="9"/>
  <c r="AQ10" i="9"/>
  <c r="AP10" i="9"/>
  <c r="AO10" i="9"/>
  <c r="AN10" i="9"/>
  <c r="AM10" i="9"/>
  <c r="AL10" i="9"/>
  <c r="AK10" i="9"/>
  <c r="AJ10" i="9"/>
  <c r="AI10" i="9"/>
  <c r="AH10" i="9"/>
  <c r="AG10" i="9"/>
  <c r="AF10" i="9"/>
  <c r="AE10" i="9"/>
  <c r="AD10" i="9"/>
  <c r="AC10" i="9"/>
  <c r="AB10" i="9"/>
  <c r="AA10" i="9"/>
  <c r="Z10" i="9"/>
  <c r="Y10" i="9"/>
  <c r="X10" i="9"/>
  <c r="W10" i="9"/>
  <c r="V10" i="9"/>
  <c r="U10" i="9"/>
  <c r="T10" i="9"/>
  <c r="S10" i="9"/>
  <c r="R10" i="9"/>
  <c r="Q10" i="9"/>
  <c r="P10" i="9"/>
  <c r="O10" i="9"/>
  <c r="N10" i="9"/>
  <c r="M10" i="9"/>
  <c r="L10" i="9"/>
  <c r="K10" i="9"/>
  <c r="K25" i="6" s="1"/>
  <c r="K25" i="5" s="1"/>
  <c r="BR9" i="9"/>
  <c r="BQ9" i="9"/>
  <c r="BP9" i="9"/>
  <c r="BO9" i="9"/>
  <c r="BN9" i="9"/>
  <c r="BM9" i="9"/>
  <c r="BL9" i="9"/>
  <c r="BK9" i="9"/>
  <c r="BJ9" i="9"/>
  <c r="BI9" i="9"/>
  <c r="BH9" i="9"/>
  <c r="BG9" i="9"/>
  <c r="BF9" i="9"/>
  <c r="BE9" i="9"/>
  <c r="BD9" i="9"/>
  <c r="BC9" i="9"/>
  <c r="BB9" i="9"/>
  <c r="BA9" i="9"/>
  <c r="AZ9" i="9"/>
  <c r="AY9" i="9"/>
  <c r="AX9" i="9"/>
  <c r="AW9" i="9"/>
  <c r="AV9" i="9"/>
  <c r="AU9" i="9"/>
  <c r="AT9" i="9"/>
  <c r="AS9" i="9"/>
  <c r="AR9" i="9"/>
  <c r="AQ9" i="9"/>
  <c r="AP9" i="9"/>
  <c r="AO9" i="9"/>
  <c r="AN9" i="9"/>
  <c r="AM9" i="9"/>
  <c r="AL9" i="9"/>
  <c r="AK9" i="9"/>
  <c r="AJ9" i="9"/>
  <c r="AI9" i="9"/>
  <c r="AH9" i="9"/>
  <c r="AG9" i="9"/>
  <c r="AF9" i="9"/>
  <c r="AE9" i="9"/>
  <c r="AD9" i="9"/>
  <c r="AC9" i="9"/>
  <c r="AB9" i="9"/>
  <c r="AA9" i="9"/>
  <c r="Z9" i="9"/>
  <c r="Y9" i="9"/>
  <c r="X9" i="9"/>
  <c r="W9" i="9"/>
  <c r="V9" i="9"/>
  <c r="U9" i="9"/>
  <c r="T9" i="9"/>
  <c r="S9" i="9"/>
  <c r="R9" i="9"/>
  <c r="Q9" i="9"/>
  <c r="P9" i="9"/>
  <c r="O9" i="9"/>
  <c r="N9" i="9"/>
  <c r="M9" i="9"/>
  <c r="L9" i="9"/>
  <c r="K9" i="9"/>
  <c r="BR8" i="9"/>
  <c r="BQ8" i="9"/>
  <c r="BP8" i="9"/>
  <c r="BO8" i="9"/>
  <c r="BN8" i="9"/>
  <c r="BM8" i="9"/>
  <c r="BL8" i="9"/>
  <c r="BK8" i="9"/>
  <c r="BJ8" i="9"/>
  <c r="BI8" i="9"/>
  <c r="BH8" i="9"/>
  <c r="BG8" i="9"/>
  <c r="BF8" i="9"/>
  <c r="BE8" i="9"/>
  <c r="BD8" i="9"/>
  <c r="BC8" i="9"/>
  <c r="BB8" i="9"/>
  <c r="BA8" i="9"/>
  <c r="AZ8" i="9"/>
  <c r="AY8" i="9"/>
  <c r="AX8" i="9"/>
  <c r="AW8" i="9"/>
  <c r="AV8" i="9"/>
  <c r="AU8" i="9"/>
  <c r="AT8" i="9"/>
  <c r="AS8" i="9"/>
  <c r="AR8" i="9"/>
  <c r="AQ8" i="9"/>
  <c r="AP8" i="9"/>
  <c r="AO8" i="9"/>
  <c r="AN8" i="9"/>
  <c r="AM8" i="9"/>
  <c r="AL8" i="9"/>
  <c r="AK8" i="9"/>
  <c r="AJ8" i="9"/>
  <c r="AI8" i="9"/>
  <c r="AH8" i="9"/>
  <c r="AG8" i="9"/>
  <c r="AF8" i="9"/>
  <c r="AE8" i="9"/>
  <c r="AD8" i="9"/>
  <c r="AC8" i="9"/>
  <c r="AB8" i="9"/>
  <c r="AA8" i="9"/>
  <c r="Z8" i="9"/>
  <c r="Y8" i="9"/>
  <c r="X8" i="9"/>
  <c r="W8" i="9"/>
  <c r="V8" i="9"/>
  <c r="U8" i="9"/>
  <c r="T8" i="9"/>
  <c r="S8" i="9"/>
  <c r="R8" i="9"/>
  <c r="Q8" i="9"/>
  <c r="P8" i="9"/>
  <c r="O8" i="9"/>
  <c r="N8" i="9"/>
  <c r="M8" i="9"/>
  <c r="L8" i="9"/>
  <c r="K8" i="9"/>
  <c r="K28" i="6" s="1"/>
  <c r="BR7" i="9"/>
  <c r="BQ7" i="9"/>
  <c r="BP7" i="9"/>
  <c r="BO7" i="9"/>
  <c r="BN7" i="9"/>
  <c r="BM7" i="9"/>
  <c r="BL7" i="9"/>
  <c r="BK7" i="9"/>
  <c r="BJ7" i="9"/>
  <c r="BI7" i="9"/>
  <c r="BH7" i="9"/>
  <c r="BG7" i="9"/>
  <c r="BF7" i="9"/>
  <c r="BE7" i="9"/>
  <c r="BD7" i="9"/>
  <c r="BC7" i="9"/>
  <c r="BB7" i="9"/>
  <c r="BA7" i="9"/>
  <c r="AZ7" i="9"/>
  <c r="AY7" i="9"/>
  <c r="AX7" i="9"/>
  <c r="AW7" i="9"/>
  <c r="AV7" i="9"/>
  <c r="AU7" i="9"/>
  <c r="AT7" i="9"/>
  <c r="AS7" i="9"/>
  <c r="AR7" i="9"/>
  <c r="AQ7" i="9"/>
  <c r="AP7" i="9"/>
  <c r="AO7" i="9"/>
  <c r="AN7" i="9"/>
  <c r="AM7" i="9"/>
  <c r="AL7" i="9"/>
  <c r="AK7" i="9"/>
  <c r="AJ7" i="9"/>
  <c r="AI7" i="9"/>
  <c r="AH7" i="9"/>
  <c r="AG7" i="9"/>
  <c r="AF7" i="9"/>
  <c r="AE7" i="9"/>
  <c r="AD7" i="9"/>
  <c r="AC7" i="9"/>
  <c r="AB7" i="9"/>
  <c r="AA7" i="9"/>
  <c r="Z7" i="9"/>
  <c r="Y7" i="9"/>
  <c r="X7" i="9"/>
  <c r="W7" i="9"/>
  <c r="V7" i="9"/>
  <c r="U7" i="9"/>
  <c r="T7" i="9"/>
  <c r="S7" i="9"/>
  <c r="R7" i="9"/>
  <c r="Q7" i="9"/>
  <c r="P7" i="9"/>
  <c r="O7" i="9"/>
  <c r="N7" i="9"/>
  <c r="M7" i="9"/>
  <c r="L7" i="9"/>
  <c r="K7" i="9"/>
  <c r="C20" i="7"/>
  <c r="K23" i="6"/>
  <c r="K34" i="9" s="1"/>
  <c r="C15" i="6"/>
  <c r="C14" i="6"/>
  <c r="C29" i="5"/>
  <c r="C28" i="5"/>
  <c r="C26" i="5"/>
  <c r="C25" i="5"/>
  <c r="C24" i="5"/>
  <c r="C20" i="5"/>
  <c r="C19" i="5"/>
  <c r="C18" i="5"/>
  <c r="C17" i="5"/>
  <c r="C16" i="5"/>
  <c r="C15" i="5"/>
  <c r="AO170" i="10"/>
  <c r="R66" i="10"/>
  <c r="O66" i="10"/>
  <c r="P66" i="10" s="1"/>
  <c r="R65" i="10"/>
  <c r="O65" i="10"/>
  <c r="P65" i="10" s="1"/>
  <c r="Q65" i="10" s="1"/>
  <c r="R64" i="10"/>
  <c r="O64" i="10"/>
  <c r="P64" i="10" s="1"/>
  <c r="R63" i="10"/>
  <c r="O63" i="10"/>
  <c r="P63" i="10" s="1"/>
  <c r="R62" i="10"/>
  <c r="O62" i="10"/>
  <c r="P62" i="10" s="1"/>
  <c r="R61" i="10"/>
  <c r="O61" i="10"/>
  <c r="P61" i="10" s="1"/>
  <c r="Q61" i="10" s="1"/>
  <c r="R60" i="10"/>
  <c r="O60" i="10"/>
  <c r="P60" i="10" s="1"/>
  <c r="R59" i="10"/>
  <c r="O59" i="10"/>
  <c r="P59" i="10" s="1"/>
  <c r="R58" i="10"/>
  <c r="O58" i="10"/>
  <c r="P58" i="10" s="1"/>
  <c r="R57" i="10"/>
  <c r="O57" i="10"/>
  <c r="P57" i="10" s="1"/>
  <c r="Q57" i="10" s="1"/>
  <c r="R56" i="10"/>
  <c r="O56" i="10"/>
  <c r="P56" i="10" s="1"/>
  <c r="R55" i="10"/>
  <c r="O55" i="10"/>
  <c r="P55" i="10" s="1"/>
  <c r="R54" i="10"/>
  <c r="O54" i="10"/>
  <c r="P54" i="10" s="1"/>
  <c r="R53" i="10"/>
  <c r="O53" i="10"/>
  <c r="P53" i="10" s="1"/>
  <c r="R52" i="10"/>
  <c r="O52" i="10"/>
  <c r="P52" i="10" s="1"/>
  <c r="R51" i="10"/>
  <c r="O51" i="10"/>
  <c r="P51" i="10" s="1"/>
  <c r="R50" i="10"/>
  <c r="O50" i="10"/>
  <c r="P50" i="10" s="1"/>
  <c r="R49" i="10"/>
  <c r="O49" i="10"/>
  <c r="P49" i="10" s="1"/>
  <c r="R48" i="10"/>
  <c r="O48" i="10"/>
  <c r="P48" i="10" s="1"/>
  <c r="Q48" i="10" s="1"/>
  <c r="R47" i="10"/>
  <c r="O47" i="10"/>
  <c r="P47" i="10" s="1"/>
  <c r="R46" i="10"/>
  <c r="O46" i="10"/>
  <c r="P46" i="10" s="1"/>
  <c r="R45" i="10"/>
  <c r="O45" i="10"/>
  <c r="P45" i="10" s="1"/>
  <c r="R44" i="10"/>
  <c r="O44" i="10"/>
  <c r="P44" i="10" s="1"/>
  <c r="R43" i="10"/>
  <c r="O43" i="10"/>
  <c r="P43" i="10" s="1"/>
  <c r="R42" i="10"/>
  <c r="O42" i="10"/>
  <c r="P42" i="10" s="1"/>
  <c r="R41" i="10"/>
  <c r="O41" i="10"/>
  <c r="P41" i="10" s="1"/>
  <c r="Q41" i="10" s="1"/>
  <c r="R40" i="10"/>
  <c r="O40" i="10"/>
  <c r="P40" i="10" s="1"/>
  <c r="R39" i="10"/>
  <c r="O39" i="10"/>
  <c r="P39" i="10" s="1"/>
  <c r="R38" i="10"/>
  <c r="O38" i="10"/>
  <c r="P38" i="10" s="1"/>
  <c r="R37" i="10"/>
  <c r="O37" i="10"/>
  <c r="P37" i="10" s="1"/>
  <c r="Q37" i="10" s="1"/>
  <c r="R36" i="10"/>
  <c r="O36" i="10"/>
  <c r="P36" i="10" s="1"/>
  <c r="R35" i="10"/>
  <c r="O35" i="10"/>
  <c r="P35" i="10" s="1"/>
  <c r="R34" i="10"/>
  <c r="O34" i="10"/>
  <c r="P34" i="10" s="1"/>
  <c r="R33" i="10"/>
  <c r="O33" i="10"/>
  <c r="P33" i="10" s="1"/>
  <c r="R32" i="10"/>
  <c r="O32" i="10"/>
  <c r="P32" i="10" s="1"/>
  <c r="R31" i="10"/>
  <c r="O31" i="10"/>
  <c r="P31" i="10" s="1"/>
  <c r="K26" i="9"/>
  <c r="K17" i="9"/>
  <c r="K6" i="9"/>
  <c r="BR43" i="8" a="1"/>
  <c r="BR43" i="8" s="1"/>
  <c r="BQ43" i="8" a="1"/>
  <c r="BQ43" i="8" s="1"/>
  <c r="BP43" i="8" a="1"/>
  <c r="BP43" i="8" s="1"/>
  <c r="BO43" i="8" a="1"/>
  <c r="BO43" i="8" s="1"/>
  <c r="BN43" i="8" a="1"/>
  <c r="BN43" i="8" s="1"/>
  <c r="BM43" i="8" a="1"/>
  <c r="BM43" i="8" s="1"/>
  <c r="BL43" i="8" a="1"/>
  <c r="BL43" i="8" s="1"/>
  <c r="BK43" i="8" a="1"/>
  <c r="BK43" i="8" s="1"/>
  <c r="BJ43" i="8" a="1"/>
  <c r="BJ43" i="8" s="1"/>
  <c r="BI43" i="8" a="1"/>
  <c r="BI43" i="8" s="1"/>
  <c r="BH43" i="8" a="1"/>
  <c r="BH43" i="8" s="1"/>
  <c r="BG43" i="8" a="1"/>
  <c r="BG43" i="8" s="1"/>
  <c r="BF43" i="8" a="1"/>
  <c r="BF43" i="8" s="1"/>
  <c r="BE43" i="8" a="1"/>
  <c r="BE43" i="8" s="1"/>
  <c r="BD43" i="8" a="1"/>
  <c r="BD43" i="8" s="1"/>
  <c r="BC43" i="8" a="1"/>
  <c r="BC43" i="8" s="1"/>
  <c r="BB43" i="8" a="1"/>
  <c r="BB43" i="8" s="1"/>
  <c r="BA43" i="8" a="1"/>
  <c r="BA43" i="8" s="1"/>
  <c r="AZ43" i="8" a="1"/>
  <c r="AZ43" i="8" s="1"/>
  <c r="AY43" i="8" a="1"/>
  <c r="AY43" i="8" s="1"/>
  <c r="AX43" i="8" a="1"/>
  <c r="AX43" i="8" s="1"/>
  <c r="AW43" i="8" a="1"/>
  <c r="AW43" i="8" s="1"/>
  <c r="AV43" i="8" a="1"/>
  <c r="AV43" i="8" s="1"/>
  <c r="AU43" i="8" a="1"/>
  <c r="AU43" i="8" s="1"/>
  <c r="AT43" i="8" a="1"/>
  <c r="AT43" i="8" s="1"/>
  <c r="AS43" i="8" a="1"/>
  <c r="AS43" i="8" s="1"/>
  <c r="AR43" i="8" a="1"/>
  <c r="AR43" i="8" s="1"/>
  <c r="AQ43" i="8" a="1"/>
  <c r="AQ43" i="8" s="1"/>
  <c r="AP43" i="8" a="1"/>
  <c r="AP43" i="8" s="1"/>
  <c r="AO43" i="8" a="1"/>
  <c r="AO43" i="8" s="1"/>
  <c r="AN43" i="8" a="1"/>
  <c r="AN43" i="8" s="1"/>
  <c r="AM43" i="8" a="1"/>
  <c r="AM43" i="8" s="1"/>
  <c r="AL43" i="8" a="1"/>
  <c r="AL43" i="8" s="1"/>
  <c r="AK43" i="8" a="1"/>
  <c r="AK43" i="8" s="1"/>
  <c r="AJ43" i="8" a="1"/>
  <c r="AJ43" i="8" s="1"/>
  <c r="AI43" i="8" a="1"/>
  <c r="AI43" i="8" s="1"/>
  <c r="AH43" i="8" a="1"/>
  <c r="AH43" i="8" s="1"/>
  <c r="AG43" i="8" a="1"/>
  <c r="AG43" i="8" s="1"/>
  <c r="AF43" i="8" a="1"/>
  <c r="AF43" i="8" s="1"/>
  <c r="AE43" i="8" a="1"/>
  <c r="AE43" i="8" s="1"/>
  <c r="AD43" i="8" a="1"/>
  <c r="AD43" i="8" s="1"/>
  <c r="AC43" i="8" a="1"/>
  <c r="AC43" i="8" s="1"/>
  <c r="AB43" i="8" a="1"/>
  <c r="AB43" i="8" s="1"/>
  <c r="AA43" i="8" a="1"/>
  <c r="AA43" i="8" s="1"/>
  <c r="Z43" i="8" a="1"/>
  <c r="Z43" i="8" s="1"/>
  <c r="Y43" i="8" a="1"/>
  <c r="Y43" i="8" s="1"/>
  <c r="X43" i="8" a="1"/>
  <c r="X43" i="8" s="1"/>
  <c r="W43" i="8" a="1"/>
  <c r="W43" i="8" s="1"/>
  <c r="V43" i="8" a="1"/>
  <c r="V43" i="8" s="1"/>
  <c r="U43" i="8" a="1"/>
  <c r="U43" i="8" s="1"/>
  <c r="T43" i="8" a="1"/>
  <c r="T43" i="8" s="1"/>
  <c r="S43" i="8" a="1"/>
  <c r="S43" i="8" s="1"/>
  <c r="R43" i="8" a="1"/>
  <c r="R43" i="8" s="1"/>
  <c r="Q43" i="8" a="1"/>
  <c r="Q43" i="8" s="1"/>
  <c r="P43" i="8" a="1"/>
  <c r="P43" i="8" s="1"/>
  <c r="O43" i="8" a="1"/>
  <c r="O43" i="8" s="1"/>
  <c r="N43" i="8" a="1"/>
  <c r="N43" i="8" s="1"/>
  <c r="M43" i="8" a="1"/>
  <c r="M43" i="8" s="1"/>
  <c r="L43" i="8" a="1"/>
  <c r="L43" i="8" s="1"/>
  <c r="K43" i="8" a="1"/>
  <c r="K43" i="8" s="1"/>
  <c r="BR42" i="8" a="1"/>
  <c r="BR42" i="8" s="1"/>
  <c r="BQ42" i="8" a="1"/>
  <c r="BQ42" i="8" s="1"/>
  <c r="BP42" i="8" a="1"/>
  <c r="BP42" i="8" s="1"/>
  <c r="BO42" i="8" a="1"/>
  <c r="BO42" i="8" s="1"/>
  <c r="BN42" i="8" a="1"/>
  <c r="BN42" i="8" s="1"/>
  <c r="BM42" i="8" a="1"/>
  <c r="BM42" i="8" s="1"/>
  <c r="BL42" i="8" a="1"/>
  <c r="BL42" i="8" s="1"/>
  <c r="BK42" i="8" a="1"/>
  <c r="BK42" i="8" s="1"/>
  <c r="BJ42" i="8" a="1"/>
  <c r="BJ42" i="8" s="1"/>
  <c r="BI42" i="8" a="1"/>
  <c r="BI42" i="8" s="1"/>
  <c r="BH42" i="8" a="1"/>
  <c r="BH42" i="8" s="1"/>
  <c r="BG42" i="8" a="1"/>
  <c r="BG42" i="8" s="1"/>
  <c r="BF42" i="8" a="1"/>
  <c r="BF42" i="8" s="1"/>
  <c r="BE42" i="8" a="1"/>
  <c r="BE42" i="8" s="1"/>
  <c r="BD42" i="8" a="1"/>
  <c r="BD42" i="8" s="1"/>
  <c r="BC42" i="8" a="1"/>
  <c r="BC42" i="8" s="1"/>
  <c r="BB42" i="8" a="1"/>
  <c r="BB42" i="8" s="1"/>
  <c r="BA42" i="8" a="1"/>
  <c r="BA42" i="8" s="1"/>
  <c r="AZ42" i="8" a="1"/>
  <c r="AZ42" i="8" s="1"/>
  <c r="AY42" i="8" a="1"/>
  <c r="AY42" i="8" s="1"/>
  <c r="AX42" i="8" a="1"/>
  <c r="AX42" i="8" s="1"/>
  <c r="AW42" i="8" a="1"/>
  <c r="AW42" i="8" s="1"/>
  <c r="AV42" i="8" a="1"/>
  <c r="AV42" i="8" s="1"/>
  <c r="AU42" i="8" a="1"/>
  <c r="AU42" i="8" s="1"/>
  <c r="AT42" i="8" a="1"/>
  <c r="AT42" i="8" s="1"/>
  <c r="AS42" i="8" a="1"/>
  <c r="AS42" i="8" s="1"/>
  <c r="AR42" i="8" a="1"/>
  <c r="AR42" i="8" s="1"/>
  <c r="AQ42" i="8" a="1"/>
  <c r="AQ42" i="8" s="1"/>
  <c r="AP42" i="8" a="1"/>
  <c r="AP42" i="8" s="1"/>
  <c r="AO42" i="8" a="1"/>
  <c r="AO42" i="8" s="1"/>
  <c r="AN42" i="8" a="1"/>
  <c r="AN42" i="8" s="1"/>
  <c r="AM42" i="8" a="1"/>
  <c r="AM42" i="8" s="1"/>
  <c r="AL42" i="8" a="1"/>
  <c r="AL42" i="8" s="1"/>
  <c r="AK42" i="8" a="1"/>
  <c r="AK42" i="8" s="1"/>
  <c r="AJ42" i="8" a="1"/>
  <c r="AJ42" i="8" s="1"/>
  <c r="AI42" i="8" a="1"/>
  <c r="AI42" i="8" s="1"/>
  <c r="AH42" i="8" a="1"/>
  <c r="AH42" i="8" s="1"/>
  <c r="AG42" i="8" a="1"/>
  <c r="AG42" i="8" s="1"/>
  <c r="AF42" i="8" a="1"/>
  <c r="AF42" i="8" s="1"/>
  <c r="AE42" i="8" a="1"/>
  <c r="AE42" i="8" s="1"/>
  <c r="AD42" i="8" a="1"/>
  <c r="AD42" i="8" s="1"/>
  <c r="AC42" i="8" a="1"/>
  <c r="AC42" i="8" s="1"/>
  <c r="AB42" i="8" a="1"/>
  <c r="AB42" i="8" s="1"/>
  <c r="AA42" i="8" a="1"/>
  <c r="AA42" i="8" s="1"/>
  <c r="Z42" i="8" a="1"/>
  <c r="Z42" i="8" s="1"/>
  <c r="Y42" i="8" a="1"/>
  <c r="Y42" i="8" s="1"/>
  <c r="X42" i="8" a="1"/>
  <c r="X42" i="8" s="1"/>
  <c r="W42" i="8" a="1"/>
  <c r="W42" i="8" s="1"/>
  <c r="V42" i="8" a="1"/>
  <c r="V42" i="8" s="1"/>
  <c r="U42" i="8" a="1"/>
  <c r="U42" i="8" s="1"/>
  <c r="T42" i="8" a="1"/>
  <c r="T42" i="8" s="1"/>
  <c r="S42" i="8" a="1"/>
  <c r="S42" i="8" s="1"/>
  <c r="R42" i="8" a="1"/>
  <c r="R42" i="8" s="1"/>
  <c r="Q42" i="8" a="1"/>
  <c r="Q42" i="8" s="1"/>
  <c r="P42" i="8" a="1"/>
  <c r="P42" i="8" s="1"/>
  <c r="O42" i="8" a="1"/>
  <c r="O42" i="8" s="1"/>
  <c r="N42" i="8" a="1"/>
  <c r="N42" i="8" s="1"/>
  <c r="M42" i="8" a="1"/>
  <c r="M42" i="8" s="1"/>
  <c r="L42" i="8" a="1"/>
  <c r="L42" i="8" s="1"/>
  <c r="K42" i="8" a="1"/>
  <c r="K42" i="8" s="1"/>
  <c r="BR41" i="8" a="1"/>
  <c r="BR41" i="8" s="1"/>
  <c r="BQ41" i="8" a="1"/>
  <c r="BQ41" i="8" s="1"/>
  <c r="BP41" i="8" a="1"/>
  <c r="BP41" i="8" s="1"/>
  <c r="BO41" i="8" a="1"/>
  <c r="BO41" i="8" s="1"/>
  <c r="BN41" i="8" a="1"/>
  <c r="BN41" i="8" s="1"/>
  <c r="BM41" i="8" a="1"/>
  <c r="BM41" i="8" s="1"/>
  <c r="BL41" i="8" a="1"/>
  <c r="BL41" i="8" s="1"/>
  <c r="BK41" i="8" a="1"/>
  <c r="BK41" i="8" s="1"/>
  <c r="BJ41" i="8" a="1"/>
  <c r="BJ41" i="8" s="1"/>
  <c r="BI41" i="8" a="1"/>
  <c r="BI41" i="8" s="1"/>
  <c r="BH41" i="8" a="1"/>
  <c r="BH41" i="8" s="1"/>
  <c r="BG41" i="8" a="1"/>
  <c r="BG41" i="8" s="1"/>
  <c r="BF41" i="8" a="1"/>
  <c r="BF41" i="8" s="1"/>
  <c r="BE41" i="8" a="1"/>
  <c r="BE41" i="8" s="1"/>
  <c r="BD41" i="8" a="1"/>
  <c r="BD41" i="8" s="1"/>
  <c r="BC41" i="8" a="1"/>
  <c r="BC41" i="8" s="1"/>
  <c r="BB41" i="8" a="1"/>
  <c r="BB41" i="8" s="1"/>
  <c r="BA41" i="8" a="1"/>
  <c r="BA41" i="8" s="1"/>
  <c r="AZ41" i="8" a="1"/>
  <c r="AZ41" i="8" s="1"/>
  <c r="AY41" i="8" a="1"/>
  <c r="AY41" i="8" s="1"/>
  <c r="AX41" i="8" a="1"/>
  <c r="AX41" i="8" s="1"/>
  <c r="AW41" i="8" a="1"/>
  <c r="AW41" i="8" s="1"/>
  <c r="AV41" i="8" a="1"/>
  <c r="AV41" i="8" s="1"/>
  <c r="AU41" i="8" a="1"/>
  <c r="AU41" i="8" s="1"/>
  <c r="AT41" i="8" a="1"/>
  <c r="AT41" i="8" s="1"/>
  <c r="AS41" i="8" a="1"/>
  <c r="AS41" i="8" s="1"/>
  <c r="AR41" i="8" a="1"/>
  <c r="AR41" i="8" s="1"/>
  <c r="AQ41" i="8" a="1"/>
  <c r="AQ41" i="8" s="1"/>
  <c r="AP41" i="8" a="1"/>
  <c r="AP41" i="8" s="1"/>
  <c r="AO41" i="8" a="1"/>
  <c r="AO41" i="8" s="1"/>
  <c r="AN41" i="8" a="1"/>
  <c r="AN41" i="8" s="1"/>
  <c r="AM41" i="8" a="1"/>
  <c r="AM41" i="8" s="1"/>
  <c r="AL41" i="8" a="1"/>
  <c r="AL41" i="8" s="1"/>
  <c r="AK41" i="8" a="1"/>
  <c r="AK41" i="8" s="1"/>
  <c r="AJ41" i="8" a="1"/>
  <c r="AJ41" i="8" s="1"/>
  <c r="AI41" i="8" a="1"/>
  <c r="AI41" i="8" s="1"/>
  <c r="AH41" i="8" a="1"/>
  <c r="AH41" i="8" s="1"/>
  <c r="AG41" i="8" a="1"/>
  <c r="AG41" i="8" s="1"/>
  <c r="AF41" i="8" a="1"/>
  <c r="AF41" i="8" s="1"/>
  <c r="AE41" i="8" a="1"/>
  <c r="AE41" i="8" s="1"/>
  <c r="AD41" i="8" a="1"/>
  <c r="AD41" i="8" s="1"/>
  <c r="AC41" i="8" a="1"/>
  <c r="AC41" i="8" s="1"/>
  <c r="AB41" i="8" a="1"/>
  <c r="AB41" i="8" s="1"/>
  <c r="AA41" i="8" a="1"/>
  <c r="AA41" i="8" s="1"/>
  <c r="Z41" i="8" a="1"/>
  <c r="Z41" i="8" s="1"/>
  <c r="Y41" i="8" a="1"/>
  <c r="Y41" i="8" s="1"/>
  <c r="X41" i="8" a="1"/>
  <c r="X41" i="8" s="1"/>
  <c r="W41" i="8" a="1"/>
  <c r="W41" i="8" s="1"/>
  <c r="V41" i="8" a="1"/>
  <c r="V41" i="8" s="1"/>
  <c r="U41" i="8" a="1"/>
  <c r="U41" i="8" s="1"/>
  <c r="T41" i="8" a="1"/>
  <c r="T41" i="8" s="1"/>
  <c r="S41" i="8" a="1"/>
  <c r="S41" i="8" s="1"/>
  <c r="R41" i="8" a="1"/>
  <c r="R41" i="8" s="1"/>
  <c r="Q41" i="8" a="1"/>
  <c r="Q41" i="8" s="1"/>
  <c r="P41" i="8" a="1"/>
  <c r="P41" i="8" s="1"/>
  <c r="O41" i="8" a="1"/>
  <c r="O41" i="8" s="1"/>
  <c r="N41" i="8" a="1"/>
  <c r="N41" i="8" s="1"/>
  <c r="M41" i="8" a="1"/>
  <c r="M41" i="8" s="1"/>
  <c r="L41" i="8" a="1"/>
  <c r="L41" i="8" s="1"/>
  <c r="K41" i="8" a="1"/>
  <c r="K41" i="8" s="1"/>
  <c r="BR40" i="8" a="1"/>
  <c r="BR40" i="8" s="1"/>
  <c r="BQ40" i="8" a="1"/>
  <c r="BQ40" i="8" s="1"/>
  <c r="BP40" i="8" a="1"/>
  <c r="BP40" i="8" s="1"/>
  <c r="BO40" i="8" a="1"/>
  <c r="BO40" i="8" s="1"/>
  <c r="BN40" i="8" a="1"/>
  <c r="BN40" i="8" s="1"/>
  <c r="BM40" i="8" a="1"/>
  <c r="BM40" i="8" s="1"/>
  <c r="BL40" i="8" a="1"/>
  <c r="BL40" i="8" s="1"/>
  <c r="BK40" i="8" a="1"/>
  <c r="BK40" i="8" s="1"/>
  <c r="BJ40" i="8" a="1"/>
  <c r="BJ40" i="8" s="1"/>
  <c r="BI40" i="8" a="1"/>
  <c r="BI40" i="8" s="1"/>
  <c r="BH40" i="8" a="1"/>
  <c r="BH40" i="8" s="1"/>
  <c r="BG40" i="8" a="1"/>
  <c r="BG40" i="8" s="1"/>
  <c r="BF40" i="8" a="1"/>
  <c r="BF40" i="8" s="1"/>
  <c r="BE40" i="8" a="1"/>
  <c r="BE40" i="8" s="1"/>
  <c r="BD40" i="8" a="1"/>
  <c r="BD40" i="8" s="1"/>
  <c r="BC40" i="8" a="1"/>
  <c r="BC40" i="8" s="1"/>
  <c r="BB40" i="8" a="1"/>
  <c r="BB40" i="8" s="1"/>
  <c r="BA40" i="8" a="1"/>
  <c r="BA40" i="8" s="1"/>
  <c r="AZ40" i="8" a="1"/>
  <c r="AZ40" i="8" s="1"/>
  <c r="AY40" i="8" a="1"/>
  <c r="AY40" i="8" s="1"/>
  <c r="AX40" i="8" a="1"/>
  <c r="AX40" i="8" s="1"/>
  <c r="AW40" i="8" a="1"/>
  <c r="AW40" i="8" s="1"/>
  <c r="AV40" i="8" a="1"/>
  <c r="AV40" i="8" s="1"/>
  <c r="AU40" i="8" a="1"/>
  <c r="AU40" i="8" s="1"/>
  <c r="AT40" i="8" a="1"/>
  <c r="AT40" i="8" s="1"/>
  <c r="AS40" i="8" a="1"/>
  <c r="AS40" i="8" s="1"/>
  <c r="AR40" i="8" a="1"/>
  <c r="AR40" i="8" s="1"/>
  <c r="AQ40" i="8" a="1"/>
  <c r="AQ40" i="8" s="1"/>
  <c r="AP40" i="8" a="1"/>
  <c r="AP40" i="8" s="1"/>
  <c r="AO40" i="8" a="1"/>
  <c r="AO40" i="8" s="1"/>
  <c r="AN40" i="8" a="1"/>
  <c r="AN40" i="8" s="1"/>
  <c r="AM40" i="8" a="1"/>
  <c r="AM40" i="8" s="1"/>
  <c r="AL40" i="8" a="1"/>
  <c r="AL40" i="8" s="1"/>
  <c r="AK40" i="8" a="1"/>
  <c r="AK40" i="8" s="1"/>
  <c r="AJ40" i="8" a="1"/>
  <c r="AJ40" i="8" s="1"/>
  <c r="AI40" i="8" a="1"/>
  <c r="AI40" i="8" s="1"/>
  <c r="AH40" i="8" a="1"/>
  <c r="AH40" i="8" s="1"/>
  <c r="AG40" i="8" a="1"/>
  <c r="AG40" i="8" s="1"/>
  <c r="AF40" i="8" a="1"/>
  <c r="AF40" i="8" s="1"/>
  <c r="AE40" i="8" a="1"/>
  <c r="AE40" i="8" s="1"/>
  <c r="AD40" i="8" a="1"/>
  <c r="AD40" i="8" s="1"/>
  <c r="AC40" i="8" a="1"/>
  <c r="AC40" i="8" s="1"/>
  <c r="AB40" i="8" a="1"/>
  <c r="AB40" i="8" s="1"/>
  <c r="AA40" i="8" a="1"/>
  <c r="AA40" i="8" s="1"/>
  <c r="Z40" i="8" a="1"/>
  <c r="Z40" i="8" s="1"/>
  <c r="Y40" i="8" a="1"/>
  <c r="Y40" i="8" s="1"/>
  <c r="X40" i="8" a="1"/>
  <c r="X40" i="8" s="1"/>
  <c r="W40" i="8" a="1"/>
  <c r="W40" i="8" s="1"/>
  <c r="V40" i="8" a="1"/>
  <c r="V40" i="8" s="1"/>
  <c r="U40" i="8" a="1"/>
  <c r="U40" i="8" s="1"/>
  <c r="T40" i="8" a="1"/>
  <c r="T40" i="8" s="1"/>
  <c r="S40" i="8" a="1"/>
  <c r="S40" i="8" s="1"/>
  <c r="R40" i="8" a="1"/>
  <c r="R40" i="8" s="1"/>
  <c r="Q40" i="8" a="1"/>
  <c r="Q40" i="8" s="1"/>
  <c r="P40" i="8" a="1"/>
  <c r="P40" i="8" s="1"/>
  <c r="O40" i="8" a="1"/>
  <c r="O40" i="8" s="1"/>
  <c r="N40" i="8" a="1"/>
  <c r="N40" i="8" s="1"/>
  <c r="M40" i="8" a="1"/>
  <c r="M40" i="8" s="1"/>
  <c r="L40" i="8" a="1"/>
  <c r="L40" i="8" s="1"/>
  <c r="K40" i="8" a="1"/>
  <c r="K40" i="8" s="1"/>
  <c r="BR39" i="8" a="1"/>
  <c r="BR39" i="8" s="1"/>
  <c r="BQ39" i="8" a="1"/>
  <c r="BQ39" i="8" s="1"/>
  <c r="BP39" i="8" a="1"/>
  <c r="BP39" i="8" s="1"/>
  <c r="BO39" i="8" a="1"/>
  <c r="BO39" i="8" s="1"/>
  <c r="BN39" i="8" a="1"/>
  <c r="BN39" i="8" s="1"/>
  <c r="BM39" i="8" a="1"/>
  <c r="BM39" i="8" s="1"/>
  <c r="BL39" i="8" a="1"/>
  <c r="BL39" i="8" s="1"/>
  <c r="BK39" i="8" a="1"/>
  <c r="BK39" i="8" s="1"/>
  <c r="BJ39" i="8" a="1"/>
  <c r="BJ39" i="8" s="1"/>
  <c r="BI39" i="8" a="1"/>
  <c r="BI39" i="8" s="1"/>
  <c r="BH39" i="8" a="1"/>
  <c r="BH39" i="8" s="1"/>
  <c r="BG39" i="8" a="1"/>
  <c r="BG39" i="8" s="1"/>
  <c r="BF39" i="8" a="1"/>
  <c r="BF39" i="8" s="1"/>
  <c r="BE39" i="8" a="1"/>
  <c r="BE39" i="8" s="1"/>
  <c r="BD39" i="8" a="1"/>
  <c r="BD39" i="8" s="1"/>
  <c r="BC39" i="8" a="1"/>
  <c r="BC39" i="8" s="1"/>
  <c r="BB39" i="8" a="1"/>
  <c r="BB39" i="8" s="1"/>
  <c r="BA39" i="8" a="1"/>
  <c r="BA39" i="8" s="1"/>
  <c r="AZ39" i="8" a="1"/>
  <c r="AZ39" i="8" s="1"/>
  <c r="AY39" i="8" a="1"/>
  <c r="AY39" i="8" s="1"/>
  <c r="AX39" i="8" a="1"/>
  <c r="AX39" i="8" s="1"/>
  <c r="AW39" i="8" a="1"/>
  <c r="AW39" i="8" s="1"/>
  <c r="AV39" i="8" a="1"/>
  <c r="AV39" i="8" s="1"/>
  <c r="AU39" i="8" a="1"/>
  <c r="AU39" i="8" s="1"/>
  <c r="AT39" i="8" a="1"/>
  <c r="AT39" i="8" s="1"/>
  <c r="AS39" i="8" a="1"/>
  <c r="AS39" i="8" s="1"/>
  <c r="AR39" i="8" a="1"/>
  <c r="AR39" i="8" s="1"/>
  <c r="AQ39" i="8" a="1"/>
  <c r="AQ39" i="8" s="1"/>
  <c r="AP39" i="8" a="1"/>
  <c r="AP39" i="8" s="1"/>
  <c r="AO39" i="8" a="1"/>
  <c r="AO39" i="8" s="1"/>
  <c r="AN39" i="8" a="1"/>
  <c r="AN39" i="8" s="1"/>
  <c r="AM39" i="8" a="1"/>
  <c r="AM39" i="8" s="1"/>
  <c r="AL39" i="8" a="1"/>
  <c r="AL39" i="8" s="1"/>
  <c r="AK39" i="8" a="1"/>
  <c r="AK39" i="8" s="1"/>
  <c r="AJ39" i="8" a="1"/>
  <c r="AJ39" i="8" s="1"/>
  <c r="AI39" i="8" a="1"/>
  <c r="AI39" i="8" s="1"/>
  <c r="AH39" i="8" a="1"/>
  <c r="AH39" i="8" s="1"/>
  <c r="AG39" i="8" a="1"/>
  <c r="AG39" i="8" s="1"/>
  <c r="AF39" i="8" a="1"/>
  <c r="AF39" i="8" s="1"/>
  <c r="AE39" i="8" a="1"/>
  <c r="AE39" i="8" s="1"/>
  <c r="AD39" i="8" a="1"/>
  <c r="AD39" i="8" s="1"/>
  <c r="AC39" i="8" a="1"/>
  <c r="AC39" i="8" s="1"/>
  <c r="AB39" i="8" a="1"/>
  <c r="AB39" i="8" s="1"/>
  <c r="AA39" i="8" a="1"/>
  <c r="AA39" i="8" s="1"/>
  <c r="Z39" i="8" a="1"/>
  <c r="Z39" i="8" s="1"/>
  <c r="Y39" i="8" a="1"/>
  <c r="Y39" i="8" s="1"/>
  <c r="X39" i="8" a="1"/>
  <c r="X39" i="8" s="1"/>
  <c r="W39" i="8" a="1"/>
  <c r="W39" i="8" s="1"/>
  <c r="V39" i="8" a="1"/>
  <c r="V39" i="8" s="1"/>
  <c r="U39" i="8" a="1"/>
  <c r="U39" i="8" s="1"/>
  <c r="T39" i="8" a="1"/>
  <c r="T39" i="8" s="1"/>
  <c r="S39" i="8" a="1"/>
  <c r="S39" i="8" s="1"/>
  <c r="R39" i="8" a="1"/>
  <c r="R39" i="8" s="1"/>
  <c r="Q39" i="8" a="1"/>
  <c r="Q39" i="8" s="1"/>
  <c r="P39" i="8" a="1"/>
  <c r="P39" i="8" s="1"/>
  <c r="O39" i="8" a="1"/>
  <c r="O39" i="8" s="1"/>
  <c r="N39" i="8" a="1"/>
  <c r="N39" i="8" s="1"/>
  <c r="M39" i="8" a="1"/>
  <c r="M39" i="8" s="1"/>
  <c r="L39" i="8" a="1"/>
  <c r="L39" i="8" s="1"/>
  <c r="K39" i="8" a="1"/>
  <c r="K39" i="8" s="1"/>
  <c r="BR38" i="8" a="1"/>
  <c r="BR38" i="8" s="1"/>
  <c r="BQ38" i="8" a="1"/>
  <c r="BQ38" i="8" s="1"/>
  <c r="BP38" i="8" a="1"/>
  <c r="BP38" i="8" s="1"/>
  <c r="BO38" i="8" a="1"/>
  <c r="BO38" i="8" s="1"/>
  <c r="BN38" i="8" a="1"/>
  <c r="BN38" i="8" s="1"/>
  <c r="BM38" i="8" a="1"/>
  <c r="BM38" i="8" s="1"/>
  <c r="BL38" i="8" a="1"/>
  <c r="BL38" i="8" s="1"/>
  <c r="BK38" i="8" a="1"/>
  <c r="BK38" i="8" s="1"/>
  <c r="BJ38" i="8" a="1"/>
  <c r="BJ38" i="8" s="1"/>
  <c r="BI38" i="8" a="1"/>
  <c r="BI38" i="8" s="1"/>
  <c r="BH38" i="8" a="1"/>
  <c r="BH38" i="8" s="1"/>
  <c r="BG38" i="8" a="1"/>
  <c r="BG38" i="8" s="1"/>
  <c r="BF38" i="8" a="1"/>
  <c r="BF38" i="8" s="1"/>
  <c r="BE38" i="8" a="1"/>
  <c r="BE38" i="8" s="1"/>
  <c r="BD38" i="8" a="1"/>
  <c r="BD38" i="8" s="1"/>
  <c r="BC38" i="8" a="1"/>
  <c r="BC38" i="8" s="1"/>
  <c r="BB38" i="8" a="1"/>
  <c r="BB38" i="8" s="1"/>
  <c r="BA38" i="8" a="1"/>
  <c r="BA38" i="8" s="1"/>
  <c r="AZ38" i="8" a="1"/>
  <c r="AZ38" i="8" s="1"/>
  <c r="AY38" i="8" a="1"/>
  <c r="AY38" i="8" s="1"/>
  <c r="AX38" i="8" a="1"/>
  <c r="AX38" i="8" s="1"/>
  <c r="AW38" i="8" a="1"/>
  <c r="AW38" i="8" s="1"/>
  <c r="AV38" i="8" a="1"/>
  <c r="AV38" i="8" s="1"/>
  <c r="AU38" i="8" a="1"/>
  <c r="AU38" i="8" s="1"/>
  <c r="AT38" i="8" a="1"/>
  <c r="AT38" i="8" s="1"/>
  <c r="AS38" i="8" a="1"/>
  <c r="AS38" i="8" s="1"/>
  <c r="AR38" i="8" a="1"/>
  <c r="AR38" i="8" s="1"/>
  <c r="AQ38" i="8" a="1"/>
  <c r="AQ38" i="8" s="1"/>
  <c r="AP38" i="8" a="1"/>
  <c r="AP38" i="8" s="1"/>
  <c r="AO38" i="8" a="1"/>
  <c r="AO38" i="8" s="1"/>
  <c r="AN38" i="8" a="1"/>
  <c r="AN38" i="8" s="1"/>
  <c r="AM38" i="8" a="1"/>
  <c r="AM38" i="8" s="1"/>
  <c r="AL38" i="8" a="1"/>
  <c r="AL38" i="8" s="1"/>
  <c r="AK38" i="8" a="1"/>
  <c r="AK38" i="8" s="1"/>
  <c r="AJ38" i="8" a="1"/>
  <c r="AJ38" i="8" s="1"/>
  <c r="AI38" i="8" a="1"/>
  <c r="AI38" i="8" s="1"/>
  <c r="AH38" i="8" a="1"/>
  <c r="AH38" i="8" s="1"/>
  <c r="AG38" i="8" a="1"/>
  <c r="AG38" i="8" s="1"/>
  <c r="AF38" i="8" a="1"/>
  <c r="AF38" i="8" s="1"/>
  <c r="AE38" i="8" a="1"/>
  <c r="AE38" i="8" s="1"/>
  <c r="AD38" i="8" a="1"/>
  <c r="AD38" i="8" s="1"/>
  <c r="AC38" i="8" a="1"/>
  <c r="AC38" i="8" s="1"/>
  <c r="AB38" i="8" a="1"/>
  <c r="AB38" i="8" s="1"/>
  <c r="AA38" i="8" a="1"/>
  <c r="AA38" i="8" s="1"/>
  <c r="Z38" i="8" a="1"/>
  <c r="Z38" i="8" s="1"/>
  <c r="Y38" i="8" a="1"/>
  <c r="Y38" i="8" s="1"/>
  <c r="X38" i="8" a="1"/>
  <c r="X38" i="8" s="1"/>
  <c r="W38" i="8" a="1"/>
  <c r="W38" i="8" s="1"/>
  <c r="V38" i="8" a="1"/>
  <c r="V38" i="8" s="1"/>
  <c r="U38" i="8" a="1"/>
  <c r="U38" i="8" s="1"/>
  <c r="T38" i="8" a="1"/>
  <c r="T38" i="8" s="1"/>
  <c r="S38" i="8" a="1"/>
  <c r="S38" i="8" s="1"/>
  <c r="R38" i="8" a="1"/>
  <c r="R38" i="8" s="1"/>
  <c r="Q38" i="8" a="1"/>
  <c r="Q38" i="8" s="1"/>
  <c r="P38" i="8" a="1"/>
  <c r="P38" i="8" s="1"/>
  <c r="O38" i="8" a="1"/>
  <c r="O38" i="8" s="1"/>
  <c r="N38" i="8" a="1"/>
  <c r="N38" i="8" s="1"/>
  <c r="M38" i="8" a="1"/>
  <c r="M38" i="8" s="1"/>
  <c r="L38" i="8" a="1"/>
  <c r="L38" i="8" s="1"/>
  <c r="K38" i="8" a="1"/>
  <c r="K38" i="8" s="1"/>
  <c r="BR11" i="8" a="1"/>
  <c r="BR11" i="8" s="1"/>
  <c r="BR20" i="5" s="1"/>
  <c r="BQ11" i="8" a="1"/>
  <c r="BQ11" i="8" s="1"/>
  <c r="BQ20" i="5" s="1"/>
  <c r="BP11" i="8" a="1"/>
  <c r="BP11" i="8" s="1"/>
  <c r="BP20" i="5" s="1"/>
  <c r="BO11" i="8" a="1"/>
  <c r="BO11" i="8" s="1"/>
  <c r="BO20" i="5" s="1"/>
  <c r="BN11" i="8" a="1"/>
  <c r="BN11" i="8" s="1"/>
  <c r="BN20" i="5" s="1"/>
  <c r="BM11" i="8" a="1"/>
  <c r="BM11" i="8" s="1"/>
  <c r="BM20" i="5" s="1"/>
  <c r="BL11" i="8" a="1"/>
  <c r="BL11" i="8" s="1"/>
  <c r="BL20" i="5" s="1"/>
  <c r="BK11" i="8" a="1"/>
  <c r="BK11" i="8" s="1"/>
  <c r="BK20" i="5" s="1"/>
  <c r="BJ11" i="8" a="1"/>
  <c r="BJ11" i="8" s="1"/>
  <c r="BJ20" i="5" s="1"/>
  <c r="BI11" i="8" a="1"/>
  <c r="BI11" i="8" s="1"/>
  <c r="BI20" i="5" s="1"/>
  <c r="BH11" i="8" a="1"/>
  <c r="BH11" i="8" s="1"/>
  <c r="BH20" i="5" s="1"/>
  <c r="BG11" i="8" a="1"/>
  <c r="BG11" i="8" s="1"/>
  <c r="BG20" i="5" s="1"/>
  <c r="BF11" i="8" a="1"/>
  <c r="BF11" i="8" s="1"/>
  <c r="BF20" i="5" s="1"/>
  <c r="BE11" i="8" a="1"/>
  <c r="BE11" i="8" s="1"/>
  <c r="BE20" i="5" s="1"/>
  <c r="BD11" i="8" a="1"/>
  <c r="BD11" i="8" s="1"/>
  <c r="BD20" i="5" s="1"/>
  <c r="BC11" i="8" a="1"/>
  <c r="BC11" i="8" s="1"/>
  <c r="BC20" i="5" s="1"/>
  <c r="BB11" i="8" a="1"/>
  <c r="BB11" i="8" s="1"/>
  <c r="BB20" i="5" s="1"/>
  <c r="BA11" i="8" a="1"/>
  <c r="BA11" i="8" s="1"/>
  <c r="BA20" i="5" s="1"/>
  <c r="AZ11" i="8" a="1"/>
  <c r="AZ11" i="8" s="1"/>
  <c r="AZ20" i="5" s="1"/>
  <c r="AY11" i="8" a="1"/>
  <c r="AY11" i="8" s="1"/>
  <c r="AY20" i="5" s="1"/>
  <c r="AX11" i="8" a="1"/>
  <c r="AX11" i="8" s="1"/>
  <c r="AX20" i="5" s="1"/>
  <c r="AW11" i="8" a="1"/>
  <c r="AW11" i="8" s="1"/>
  <c r="AW20" i="5" s="1"/>
  <c r="AV11" i="8" a="1"/>
  <c r="AV11" i="8" s="1"/>
  <c r="AV20" i="5" s="1"/>
  <c r="AU11" i="8" a="1"/>
  <c r="AU11" i="8" s="1"/>
  <c r="AU20" i="5" s="1"/>
  <c r="AT11" i="8" a="1"/>
  <c r="AT11" i="8" s="1"/>
  <c r="AT20" i="5" s="1"/>
  <c r="AS11" i="8" a="1"/>
  <c r="AS11" i="8" s="1"/>
  <c r="AS20" i="5" s="1"/>
  <c r="AR11" i="8" a="1"/>
  <c r="AR11" i="8" s="1"/>
  <c r="AR20" i="5" s="1"/>
  <c r="AQ11" i="8" a="1"/>
  <c r="AQ11" i="8" s="1"/>
  <c r="AQ20" i="5" s="1"/>
  <c r="AP11" i="8" a="1"/>
  <c r="AP11" i="8" s="1"/>
  <c r="AP20" i="5" s="1"/>
  <c r="AO11" i="8" a="1"/>
  <c r="AO11" i="8" s="1"/>
  <c r="AO20" i="5" s="1"/>
  <c r="AN11" i="8" a="1"/>
  <c r="AN11" i="8" s="1"/>
  <c r="AN20" i="5" s="1"/>
  <c r="AM11" i="8" a="1"/>
  <c r="AM11" i="8" s="1"/>
  <c r="AM20" i="5" s="1"/>
  <c r="AL11" i="8" a="1"/>
  <c r="AL11" i="8" s="1"/>
  <c r="AL20" i="5" s="1"/>
  <c r="AK11" i="8" a="1"/>
  <c r="AK11" i="8" s="1"/>
  <c r="AK20" i="5" s="1"/>
  <c r="AJ11" i="8" a="1"/>
  <c r="AJ11" i="8" s="1"/>
  <c r="AJ20" i="5" s="1"/>
  <c r="AI11" i="8" a="1"/>
  <c r="AI11" i="8" s="1"/>
  <c r="AI20" i="5" s="1"/>
  <c r="AH11" i="8" a="1"/>
  <c r="AH11" i="8" s="1"/>
  <c r="AH20" i="5" s="1"/>
  <c r="AG11" i="8" a="1"/>
  <c r="AG11" i="8" s="1"/>
  <c r="AG20" i="5" s="1"/>
  <c r="AF11" i="8" a="1"/>
  <c r="AF11" i="8" s="1"/>
  <c r="AF20" i="5" s="1"/>
  <c r="AE11" i="8" a="1"/>
  <c r="AE11" i="8" s="1"/>
  <c r="AE20" i="5" s="1"/>
  <c r="AD11" i="8" a="1"/>
  <c r="AD11" i="8" s="1"/>
  <c r="AD20" i="5" s="1"/>
  <c r="AC11" i="8" a="1"/>
  <c r="AC11" i="8" s="1"/>
  <c r="AC20" i="5" s="1"/>
  <c r="AB11" i="8" a="1"/>
  <c r="AB11" i="8" s="1"/>
  <c r="AB20" i="5" s="1"/>
  <c r="AA11" i="8" a="1"/>
  <c r="AA11" i="8" s="1"/>
  <c r="AA20" i="5" s="1"/>
  <c r="Z11" i="8" a="1"/>
  <c r="Z11" i="8" s="1"/>
  <c r="Z20" i="5" s="1"/>
  <c r="Y11" i="8" a="1"/>
  <c r="Y11" i="8" s="1"/>
  <c r="Y20" i="5" s="1"/>
  <c r="X11" i="8" a="1"/>
  <c r="X11" i="8" s="1"/>
  <c r="X20" i="5" s="1"/>
  <c r="W11" i="8" a="1"/>
  <c r="W11" i="8" s="1"/>
  <c r="W20" i="5" s="1"/>
  <c r="V11" i="8" a="1"/>
  <c r="V11" i="8" s="1"/>
  <c r="V20" i="5" s="1"/>
  <c r="U11" i="8" a="1"/>
  <c r="U11" i="8" s="1"/>
  <c r="U20" i="5" s="1"/>
  <c r="T11" i="8" a="1"/>
  <c r="T11" i="8" s="1"/>
  <c r="T20" i="5" s="1"/>
  <c r="S11" i="8" a="1"/>
  <c r="S11" i="8" s="1"/>
  <c r="S20" i="5" s="1"/>
  <c r="R11" i="8" a="1"/>
  <c r="R11" i="8" s="1"/>
  <c r="R20" i="5" s="1"/>
  <c r="Q11" i="8" a="1"/>
  <c r="Q11" i="8" s="1"/>
  <c r="Q20" i="5" s="1"/>
  <c r="P11" i="8" a="1"/>
  <c r="P11" i="8" s="1"/>
  <c r="P20" i="5" s="1"/>
  <c r="O11" i="8" a="1"/>
  <c r="O11" i="8" s="1"/>
  <c r="O20" i="5" s="1"/>
  <c r="N11" i="8" a="1"/>
  <c r="N11" i="8" s="1"/>
  <c r="N20" i="5" s="1"/>
  <c r="M11" i="8" a="1"/>
  <c r="M11" i="8" s="1"/>
  <c r="M20" i="5" s="1"/>
  <c r="L11" i="8" a="1"/>
  <c r="L11" i="8" s="1"/>
  <c r="L20" i="5" s="1"/>
  <c r="K11" i="8" a="1"/>
  <c r="K11" i="8" s="1"/>
  <c r="K20" i="5" s="1"/>
  <c r="BR10" i="8" a="1"/>
  <c r="BR10" i="8" s="1"/>
  <c r="BR19" i="5" s="1"/>
  <c r="BQ10" i="8" a="1"/>
  <c r="BQ10" i="8" s="1"/>
  <c r="BQ19" i="5" s="1"/>
  <c r="BP10" i="8" a="1"/>
  <c r="BP10" i="8" s="1"/>
  <c r="BP19" i="5" s="1"/>
  <c r="BO10" i="8" a="1"/>
  <c r="BO10" i="8" s="1"/>
  <c r="BO19" i="5" s="1"/>
  <c r="BN10" i="8" a="1"/>
  <c r="BN10" i="8" s="1"/>
  <c r="BN19" i="5" s="1"/>
  <c r="BM10" i="8" a="1"/>
  <c r="BM10" i="8" s="1"/>
  <c r="BM19" i="5" s="1"/>
  <c r="BL10" i="8" a="1"/>
  <c r="BL10" i="8" s="1"/>
  <c r="BL19" i="5" s="1"/>
  <c r="BK10" i="8" a="1"/>
  <c r="BK10" i="8" s="1"/>
  <c r="BK19" i="5" s="1"/>
  <c r="BJ10" i="8" a="1"/>
  <c r="BJ10" i="8" s="1"/>
  <c r="BJ19" i="5" s="1"/>
  <c r="BI10" i="8" a="1"/>
  <c r="BI10" i="8" s="1"/>
  <c r="BI19" i="5" s="1"/>
  <c r="BH10" i="8" a="1"/>
  <c r="BH10" i="8" s="1"/>
  <c r="BH19" i="5" s="1"/>
  <c r="BG10" i="8" a="1"/>
  <c r="BG10" i="8" s="1"/>
  <c r="BG19" i="5" s="1"/>
  <c r="BF10" i="8" a="1"/>
  <c r="BF10" i="8" s="1"/>
  <c r="BF19" i="5" s="1"/>
  <c r="BE10" i="8" a="1"/>
  <c r="BE10" i="8" s="1"/>
  <c r="BE19" i="5" s="1"/>
  <c r="BD10" i="8" a="1"/>
  <c r="BD10" i="8" s="1"/>
  <c r="BD19" i="5" s="1"/>
  <c r="BC10" i="8" a="1"/>
  <c r="BC10" i="8" s="1"/>
  <c r="BC19" i="5" s="1"/>
  <c r="BB10" i="8" a="1"/>
  <c r="BB10" i="8" s="1"/>
  <c r="BB19" i="5" s="1"/>
  <c r="BA10" i="8" a="1"/>
  <c r="BA10" i="8" s="1"/>
  <c r="BA19" i="5" s="1"/>
  <c r="AZ10" i="8" a="1"/>
  <c r="AZ10" i="8" s="1"/>
  <c r="AZ19" i="5" s="1"/>
  <c r="AY10" i="8" a="1"/>
  <c r="AY10" i="8" s="1"/>
  <c r="AY19" i="5" s="1"/>
  <c r="AX10" i="8" a="1"/>
  <c r="AX10" i="8" s="1"/>
  <c r="AX19" i="5" s="1"/>
  <c r="AW10" i="8" a="1"/>
  <c r="AW10" i="8" s="1"/>
  <c r="AW19" i="5" s="1"/>
  <c r="AV10" i="8" a="1"/>
  <c r="AV10" i="8" s="1"/>
  <c r="AV19" i="5" s="1"/>
  <c r="AU10" i="8" a="1"/>
  <c r="AU10" i="8" s="1"/>
  <c r="AT10" i="8" a="1"/>
  <c r="AT10" i="8" s="1"/>
  <c r="AT19" i="5" s="1"/>
  <c r="AS10" i="8" a="1"/>
  <c r="AS10" i="8" s="1"/>
  <c r="AS19" i="5" s="1"/>
  <c r="AR10" i="8" a="1"/>
  <c r="AR10" i="8" s="1"/>
  <c r="AR19" i="5" s="1"/>
  <c r="AQ10" i="8" a="1"/>
  <c r="AQ10" i="8" s="1"/>
  <c r="AQ19" i="5" s="1"/>
  <c r="AP10" i="8" a="1"/>
  <c r="AP10" i="8" s="1"/>
  <c r="AP19" i="5" s="1"/>
  <c r="AO10" i="8" a="1"/>
  <c r="AO10" i="8" s="1"/>
  <c r="AO19" i="5" s="1"/>
  <c r="AN10" i="8" a="1"/>
  <c r="AN10" i="8" s="1"/>
  <c r="AN19" i="5" s="1"/>
  <c r="AM10" i="8" a="1"/>
  <c r="AM10" i="8" s="1"/>
  <c r="AM19" i="5" s="1"/>
  <c r="AL10" i="8" a="1"/>
  <c r="AL10" i="8" s="1"/>
  <c r="AL19" i="5" s="1"/>
  <c r="AK10" i="8" a="1"/>
  <c r="AK10" i="8" s="1"/>
  <c r="AK19" i="5" s="1"/>
  <c r="AJ10" i="8" a="1"/>
  <c r="AJ10" i="8" s="1"/>
  <c r="AJ19" i="5" s="1"/>
  <c r="AI10" i="8" a="1"/>
  <c r="AI10" i="8" s="1"/>
  <c r="AI19" i="5" s="1"/>
  <c r="AH10" i="8" a="1"/>
  <c r="AH10" i="8" s="1"/>
  <c r="AH19" i="5" s="1"/>
  <c r="AG10" i="8" a="1"/>
  <c r="AG10" i="8" s="1"/>
  <c r="AG19" i="5" s="1"/>
  <c r="AF10" i="8" a="1"/>
  <c r="AF10" i="8" s="1"/>
  <c r="AF19" i="5" s="1"/>
  <c r="AE10" i="8" a="1"/>
  <c r="AE10" i="8" s="1"/>
  <c r="AE19" i="5" s="1"/>
  <c r="AD10" i="8" a="1"/>
  <c r="AD10" i="8" s="1"/>
  <c r="AD19" i="5" s="1"/>
  <c r="AC10" i="8" a="1"/>
  <c r="AC10" i="8" s="1"/>
  <c r="AC19" i="5" s="1"/>
  <c r="AB10" i="8" a="1"/>
  <c r="AB10" i="8" s="1"/>
  <c r="AB19" i="5" s="1"/>
  <c r="AA10" i="8" a="1"/>
  <c r="AA10" i="8" s="1"/>
  <c r="AA19" i="5" s="1"/>
  <c r="Z10" i="8" a="1"/>
  <c r="Z10" i="8" s="1"/>
  <c r="Z19" i="5" s="1"/>
  <c r="Y10" i="8" a="1"/>
  <c r="Y10" i="8" s="1"/>
  <c r="Y19" i="5" s="1"/>
  <c r="X10" i="8" a="1"/>
  <c r="X10" i="8" s="1"/>
  <c r="W10" i="8" a="1"/>
  <c r="W10" i="8" s="1"/>
  <c r="W19" i="5" s="1"/>
  <c r="V10" i="8" a="1"/>
  <c r="V10" i="8" s="1"/>
  <c r="V19" i="5" s="1"/>
  <c r="U10" i="8" a="1"/>
  <c r="U10" i="8" s="1"/>
  <c r="U19" i="5" s="1"/>
  <c r="T10" i="8" a="1"/>
  <c r="T10" i="8" s="1"/>
  <c r="T19" i="5" s="1"/>
  <c r="S10" i="8" a="1"/>
  <c r="S10" i="8" s="1"/>
  <c r="S19" i="5" s="1"/>
  <c r="R10" i="8" a="1"/>
  <c r="R10" i="8" s="1"/>
  <c r="R19" i="5" s="1"/>
  <c r="Q10" i="8" a="1"/>
  <c r="Q10" i="8" s="1"/>
  <c r="Q19" i="5" s="1"/>
  <c r="P10" i="8" a="1"/>
  <c r="P10" i="8" s="1"/>
  <c r="P19" i="5" s="1"/>
  <c r="O10" i="8" a="1"/>
  <c r="O10" i="8" s="1"/>
  <c r="O19" i="5" s="1"/>
  <c r="N10" i="8" a="1"/>
  <c r="N10" i="8" s="1"/>
  <c r="N19" i="5" s="1"/>
  <c r="M10" i="8" a="1"/>
  <c r="M10" i="8" s="1"/>
  <c r="M19" i="5" s="1"/>
  <c r="L10" i="8" a="1"/>
  <c r="L10" i="8" s="1"/>
  <c r="K10" i="8" a="1"/>
  <c r="K10" i="8" s="1"/>
  <c r="K19" i="5" s="1"/>
  <c r="BR9" i="8" a="1"/>
  <c r="BR9" i="8" s="1"/>
  <c r="BR18" i="5" s="1"/>
  <c r="BQ9" i="8" a="1"/>
  <c r="BQ9" i="8" s="1"/>
  <c r="BQ18" i="5" s="1"/>
  <c r="BP9" i="8" a="1"/>
  <c r="BP9" i="8" s="1"/>
  <c r="BP18" i="5" s="1"/>
  <c r="BO9" i="8" a="1"/>
  <c r="BO9" i="8" s="1"/>
  <c r="BO18" i="5" s="1"/>
  <c r="BN9" i="8" a="1"/>
  <c r="BN9" i="8" s="1"/>
  <c r="BN18" i="5" s="1"/>
  <c r="BM9" i="8" a="1"/>
  <c r="BM9" i="8" s="1"/>
  <c r="BM18" i="5" s="1"/>
  <c r="BL9" i="8" a="1"/>
  <c r="BL9" i="8" s="1"/>
  <c r="BL18" i="5" s="1"/>
  <c r="BK9" i="8" a="1"/>
  <c r="BK9" i="8" s="1"/>
  <c r="BK18" i="5" s="1"/>
  <c r="BJ9" i="8" a="1"/>
  <c r="BJ9" i="8" s="1"/>
  <c r="BJ18" i="5" s="1"/>
  <c r="BI9" i="8" a="1"/>
  <c r="BI9" i="8" s="1"/>
  <c r="BI18" i="5" s="1"/>
  <c r="BH9" i="8" a="1"/>
  <c r="BH9" i="8" s="1"/>
  <c r="BH18" i="5" s="1"/>
  <c r="BG9" i="8" a="1"/>
  <c r="BG9" i="8" s="1"/>
  <c r="BG18" i="5" s="1"/>
  <c r="BF9" i="8" a="1"/>
  <c r="BF9" i="8" s="1"/>
  <c r="BF18" i="5" s="1"/>
  <c r="BE9" i="8" a="1"/>
  <c r="BE9" i="8" s="1"/>
  <c r="BE18" i="5" s="1"/>
  <c r="BD9" i="8" a="1"/>
  <c r="BD9" i="8" s="1"/>
  <c r="BD18" i="5" s="1"/>
  <c r="BC9" i="8" a="1"/>
  <c r="BC9" i="8" s="1"/>
  <c r="BC18" i="5" s="1"/>
  <c r="BB9" i="8" a="1"/>
  <c r="BB9" i="8" s="1"/>
  <c r="BB18" i="5" s="1"/>
  <c r="BA9" i="8" a="1"/>
  <c r="BA9" i="8" s="1"/>
  <c r="BA18" i="5" s="1"/>
  <c r="AZ9" i="8" a="1"/>
  <c r="AZ9" i="8" s="1"/>
  <c r="AZ18" i="5" s="1"/>
  <c r="AY9" i="8" a="1"/>
  <c r="AY9" i="8" s="1"/>
  <c r="AY18" i="5" s="1"/>
  <c r="AX9" i="8" a="1"/>
  <c r="AX9" i="8" s="1"/>
  <c r="AX18" i="5" s="1"/>
  <c r="AW9" i="8" a="1"/>
  <c r="AW9" i="8" s="1"/>
  <c r="AW18" i="5" s="1"/>
  <c r="AV9" i="8" a="1"/>
  <c r="AV9" i="8" s="1"/>
  <c r="AV18" i="5" s="1"/>
  <c r="AU9" i="8" a="1"/>
  <c r="AU9" i="8" s="1"/>
  <c r="AU18" i="5" s="1"/>
  <c r="AT9" i="8" a="1"/>
  <c r="AT9" i="8" s="1"/>
  <c r="AT18" i="5" s="1"/>
  <c r="AS9" i="8" a="1"/>
  <c r="AS9" i="8" s="1"/>
  <c r="AS18" i="5" s="1"/>
  <c r="AR9" i="8" a="1"/>
  <c r="AR9" i="8" s="1"/>
  <c r="AR18" i="5" s="1"/>
  <c r="AQ9" i="8" a="1"/>
  <c r="AQ9" i="8" s="1"/>
  <c r="AQ18" i="5" s="1"/>
  <c r="AP9" i="8" a="1"/>
  <c r="AP9" i="8" s="1"/>
  <c r="AP18" i="5" s="1"/>
  <c r="AO9" i="8" a="1"/>
  <c r="AO9" i="8" s="1"/>
  <c r="AO18" i="5" s="1"/>
  <c r="AN9" i="8" a="1"/>
  <c r="AN9" i="8" s="1"/>
  <c r="AN18" i="5" s="1"/>
  <c r="AM9" i="8" a="1"/>
  <c r="AM9" i="8" s="1"/>
  <c r="AM18" i="5" s="1"/>
  <c r="AL9" i="8" a="1"/>
  <c r="AL9" i="8" s="1"/>
  <c r="AL18" i="5" s="1"/>
  <c r="AK9" i="8" a="1"/>
  <c r="AK9" i="8" s="1"/>
  <c r="AK18" i="5" s="1"/>
  <c r="AJ9" i="8" a="1"/>
  <c r="AJ9" i="8" s="1"/>
  <c r="AJ18" i="5" s="1"/>
  <c r="AI9" i="8" a="1"/>
  <c r="AI9" i="8" s="1"/>
  <c r="AI18" i="5" s="1"/>
  <c r="AH9" i="8" a="1"/>
  <c r="AH9" i="8" s="1"/>
  <c r="AH18" i="5" s="1"/>
  <c r="AG9" i="8" a="1"/>
  <c r="AG9" i="8" s="1"/>
  <c r="AG18" i="5" s="1"/>
  <c r="AF9" i="8" a="1"/>
  <c r="AF9" i="8" s="1"/>
  <c r="AF18" i="5" s="1"/>
  <c r="AE9" i="8" a="1"/>
  <c r="AE9" i="8" s="1"/>
  <c r="AE18" i="5" s="1"/>
  <c r="AD9" i="8" a="1"/>
  <c r="AD9" i="8" s="1"/>
  <c r="AD18" i="5" s="1"/>
  <c r="AC9" i="8" a="1"/>
  <c r="AC9" i="8" s="1"/>
  <c r="AC18" i="5" s="1"/>
  <c r="AB9" i="8" a="1"/>
  <c r="AB9" i="8" s="1"/>
  <c r="AB18" i="5" s="1"/>
  <c r="AA9" i="8" a="1"/>
  <c r="AA9" i="8" s="1"/>
  <c r="AA18" i="5" s="1"/>
  <c r="Z9" i="8" a="1"/>
  <c r="Z9" i="8" s="1"/>
  <c r="Z18" i="5" s="1"/>
  <c r="Y9" i="8" a="1"/>
  <c r="Y9" i="8" s="1"/>
  <c r="Y18" i="5" s="1"/>
  <c r="X9" i="8" a="1"/>
  <c r="X9" i="8" s="1"/>
  <c r="X18" i="5" s="1"/>
  <c r="W9" i="8" a="1"/>
  <c r="W9" i="8" s="1"/>
  <c r="W18" i="5" s="1"/>
  <c r="V9" i="8" a="1"/>
  <c r="V9" i="8" s="1"/>
  <c r="V18" i="5" s="1"/>
  <c r="U9" i="8" a="1"/>
  <c r="U9" i="8" s="1"/>
  <c r="U18" i="5" s="1"/>
  <c r="T9" i="8" a="1"/>
  <c r="T9" i="8" s="1"/>
  <c r="T18" i="5" s="1"/>
  <c r="S9" i="8" a="1"/>
  <c r="S9" i="8" s="1"/>
  <c r="S18" i="5" s="1"/>
  <c r="R9" i="8" a="1"/>
  <c r="R9" i="8" s="1"/>
  <c r="R18" i="5" s="1"/>
  <c r="Q9" i="8" a="1"/>
  <c r="Q9" i="8" s="1"/>
  <c r="Q18" i="5" s="1"/>
  <c r="P9" i="8" a="1"/>
  <c r="P9" i="8" s="1"/>
  <c r="P18" i="5" s="1"/>
  <c r="O9" i="8" a="1"/>
  <c r="O9" i="8" s="1"/>
  <c r="O18" i="5" s="1"/>
  <c r="N9" i="8" a="1"/>
  <c r="N9" i="8" s="1"/>
  <c r="N18" i="5" s="1"/>
  <c r="M9" i="8" a="1"/>
  <c r="M9" i="8" s="1"/>
  <c r="M18" i="5" s="1"/>
  <c r="L9" i="8" a="1"/>
  <c r="L9" i="8" s="1"/>
  <c r="L18" i="5" s="1"/>
  <c r="K9" i="8" a="1"/>
  <c r="K9" i="8" s="1"/>
  <c r="K18" i="5" s="1"/>
  <c r="BR8" i="8" a="1"/>
  <c r="BR8" i="8" s="1"/>
  <c r="BR17" i="5" s="1"/>
  <c r="BQ8" i="8" a="1"/>
  <c r="BQ8" i="8" s="1"/>
  <c r="BQ17" i="5" s="1"/>
  <c r="BP8" i="8" a="1"/>
  <c r="BP8" i="8" s="1"/>
  <c r="BP17" i="5" s="1"/>
  <c r="BO8" i="8" a="1"/>
  <c r="BO8" i="8" s="1"/>
  <c r="BO17" i="5" s="1"/>
  <c r="BN8" i="8" a="1"/>
  <c r="BN8" i="8" s="1"/>
  <c r="BN17" i="5" s="1"/>
  <c r="BM8" i="8" a="1"/>
  <c r="BM8" i="8" s="1"/>
  <c r="BM17" i="5" s="1"/>
  <c r="BL8" i="8" a="1"/>
  <c r="BL8" i="8" s="1"/>
  <c r="BL17" i="5" s="1"/>
  <c r="BK8" i="8" a="1"/>
  <c r="BK8" i="8" s="1"/>
  <c r="BK17" i="5" s="1"/>
  <c r="BJ8" i="8" a="1"/>
  <c r="BJ8" i="8" s="1"/>
  <c r="BJ17" i="5" s="1"/>
  <c r="BI8" i="8" a="1"/>
  <c r="BI8" i="8" s="1"/>
  <c r="BI17" i="5" s="1"/>
  <c r="BH8" i="8" a="1"/>
  <c r="BH8" i="8" s="1"/>
  <c r="BH17" i="5" s="1"/>
  <c r="BG8" i="8" a="1"/>
  <c r="BG8" i="8" s="1"/>
  <c r="BG17" i="5" s="1"/>
  <c r="BF8" i="8" a="1"/>
  <c r="BF8" i="8" s="1"/>
  <c r="BF17" i="5" s="1"/>
  <c r="BE8" i="8" a="1"/>
  <c r="BE8" i="8" s="1"/>
  <c r="BE17" i="5" s="1"/>
  <c r="BD8" i="8" a="1"/>
  <c r="BD8" i="8" s="1"/>
  <c r="BD17" i="5" s="1"/>
  <c r="BC8" i="8" a="1"/>
  <c r="BC8" i="8" s="1"/>
  <c r="BC17" i="5" s="1"/>
  <c r="BB8" i="8" a="1"/>
  <c r="BB8" i="8" s="1"/>
  <c r="BB17" i="5" s="1"/>
  <c r="BA8" i="8" a="1"/>
  <c r="BA8" i="8" s="1"/>
  <c r="BA17" i="5" s="1"/>
  <c r="AZ8" i="8" a="1"/>
  <c r="AZ8" i="8" s="1"/>
  <c r="AZ17" i="5" s="1"/>
  <c r="AY8" i="8" a="1"/>
  <c r="AY8" i="8" s="1"/>
  <c r="AY17" i="5" s="1"/>
  <c r="AX8" i="8" a="1"/>
  <c r="AX8" i="8" s="1"/>
  <c r="AX17" i="5" s="1"/>
  <c r="AW8" i="8" a="1"/>
  <c r="AW8" i="8" s="1"/>
  <c r="AW17" i="5" s="1"/>
  <c r="AV8" i="8" a="1"/>
  <c r="AV8" i="8" s="1"/>
  <c r="AV17" i="5" s="1"/>
  <c r="AU8" i="8" a="1"/>
  <c r="AU8" i="8" s="1"/>
  <c r="AU17" i="5" s="1"/>
  <c r="AT8" i="8" a="1"/>
  <c r="AT8" i="8" s="1"/>
  <c r="AT17" i="5" s="1"/>
  <c r="AS8" i="8" a="1"/>
  <c r="AS8" i="8" s="1"/>
  <c r="AS17" i="5" s="1"/>
  <c r="AR8" i="8" a="1"/>
  <c r="AR8" i="8" s="1"/>
  <c r="AR17" i="5" s="1"/>
  <c r="AQ8" i="8" a="1"/>
  <c r="AQ8" i="8" s="1"/>
  <c r="AQ17" i="5" s="1"/>
  <c r="AP8" i="8" a="1"/>
  <c r="AP8" i="8" s="1"/>
  <c r="AP17" i="5" s="1"/>
  <c r="AO8" i="8" a="1"/>
  <c r="AO8" i="8" s="1"/>
  <c r="AO17" i="5" s="1"/>
  <c r="AN8" i="8" a="1"/>
  <c r="AN8" i="8" s="1"/>
  <c r="AN17" i="5" s="1"/>
  <c r="AM8" i="8" a="1"/>
  <c r="AM8" i="8" s="1"/>
  <c r="AM17" i="5" s="1"/>
  <c r="AL8" i="8" a="1"/>
  <c r="AL8" i="8" s="1"/>
  <c r="AL17" i="5" s="1"/>
  <c r="AK8" i="8" a="1"/>
  <c r="AK8" i="8" s="1"/>
  <c r="AK17" i="5" s="1"/>
  <c r="AJ8" i="8" a="1"/>
  <c r="AJ8" i="8" s="1"/>
  <c r="AJ17" i="5" s="1"/>
  <c r="AI8" i="8" a="1"/>
  <c r="AI8" i="8" s="1"/>
  <c r="AI17" i="5" s="1"/>
  <c r="AH8" i="8" a="1"/>
  <c r="AH8" i="8" s="1"/>
  <c r="AH17" i="5" s="1"/>
  <c r="AG8" i="8" a="1"/>
  <c r="AG8" i="8" s="1"/>
  <c r="AG17" i="5" s="1"/>
  <c r="AF8" i="8" a="1"/>
  <c r="AF8" i="8" s="1"/>
  <c r="AF17" i="5" s="1"/>
  <c r="AE8" i="8" a="1"/>
  <c r="AE8" i="8" s="1"/>
  <c r="AE17" i="5" s="1"/>
  <c r="AD8" i="8" a="1"/>
  <c r="AD8" i="8" s="1"/>
  <c r="AD17" i="5" s="1"/>
  <c r="AC8" i="8" a="1"/>
  <c r="AC8" i="8" s="1"/>
  <c r="AC17" i="5" s="1"/>
  <c r="AB8" i="8" a="1"/>
  <c r="AB8" i="8" s="1"/>
  <c r="AB17" i="5" s="1"/>
  <c r="AA8" i="8" a="1"/>
  <c r="AA8" i="8" s="1"/>
  <c r="AA17" i="5" s="1"/>
  <c r="Z8" i="8" a="1"/>
  <c r="Z8" i="8" s="1"/>
  <c r="Z17" i="5" s="1"/>
  <c r="Y8" i="8" a="1"/>
  <c r="Y8" i="8" s="1"/>
  <c r="Y17" i="5" s="1"/>
  <c r="X8" i="8" a="1"/>
  <c r="X8" i="8" s="1"/>
  <c r="X17" i="5" s="1"/>
  <c r="W8" i="8" a="1"/>
  <c r="W8" i="8" s="1"/>
  <c r="V8" i="8" a="1"/>
  <c r="V8" i="8" s="1"/>
  <c r="V17" i="5" s="1"/>
  <c r="U8" i="8" a="1"/>
  <c r="U8" i="8" s="1"/>
  <c r="U17" i="5" s="1"/>
  <c r="T8" i="8" a="1"/>
  <c r="T8" i="8" s="1"/>
  <c r="T17" i="5" s="1"/>
  <c r="S8" i="8" a="1"/>
  <c r="S8" i="8" s="1"/>
  <c r="S17" i="5" s="1"/>
  <c r="R8" i="8" a="1"/>
  <c r="R8" i="8" s="1"/>
  <c r="R17" i="5" s="1"/>
  <c r="Q8" i="8" a="1"/>
  <c r="Q8" i="8" s="1"/>
  <c r="Q17" i="5" s="1"/>
  <c r="P8" i="8" a="1"/>
  <c r="P8" i="8" s="1"/>
  <c r="P17" i="5" s="1"/>
  <c r="O8" i="8" a="1"/>
  <c r="O8" i="8" s="1"/>
  <c r="O17" i="5" s="1"/>
  <c r="N8" i="8" a="1"/>
  <c r="N8" i="8" s="1"/>
  <c r="N17" i="5" s="1"/>
  <c r="M8" i="8" a="1"/>
  <c r="M8" i="8" s="1"/>
  <c r="M17" i="5" s="1"/>
  <c r="L8" i="8" a="1"/>
  <c r="L8" i="8" s="1"/>
  <c r="L17" i="5" s="1"/>
  <c r="K8" i="8" a="1"/>
  <c r="K8" i="8" s="1"/>
  <c r="K17" i="5" s="1"/>
  <c r="BR7" i="8" a="1"/>
  <c r="BR7" i="8" s="1"/>
  <c r="BR16" i="5" s="1"/>
  <c r="BQ7" i="8" a="1"/>
  <c r="BQ7" i="8" s="1"/>
  <c r="BQ16" i="5" s="1"/>
  <c r="BP7" i="8" a="1"/>
  <c r="BP7" i="8" s="1"/>
  <c r="BP16" i="5" s="1"/>
  <c r="BO7" i="8" a="1"/>
  <c r="BO7" i="8" s="1"/>
  <c r="BO16" i="5" s="1"/>
  <c r="BN7" i="8" a="1"/>
  <c r="BN7" i="8" s="1"/>
  <c r="BN16" i="5" s="1"/>
  <c r="BM7" i="8" a="1"/>
  <c r="BM7" i="8" s="1"/>
  <c r="BM16" i="5" s="1"/>
  <c r="BL7" i="8" a="1"/>
  <c r="BL7" i="8" s="1"/>
  <c r="BL16" i="5" s="1"/>
  <c r="BK7" i="8" a="1"/>
  <c r="BK7" i="8" s="1"/>
  <c r="BK16" i="5" s="1"/>
  <c r="BJ7" i="8" a="1"/>
  <c r="BJ7" i="8" s="1"/>
  <c r="BJ16" i="5" s="1"/>
  <c r="BI7" i="8" a="1"/>
  <c r="BI7" i="8" s="1"/>
  <c r="BI16" i="5" s="1"/>
  <c r="BH7" i="8" a="1"/>
  <c r="BH7" i="8" s="1"/>
  <c r="BH16" i="5" s="1"/>
  <c r="BG7" i="8" a="1"/>
  <c r="BG7" i="8" s="1"/>
  <c r="BG16" i="5" s="1"/>
  <c r="BF7" i="8" a="1"/>
  <c r="BF7" i="8" s="1"/>
  <c r="BF16" i="5" s="1"/>
  <c r="BE7" i="8" a="1"/>
  <c r="BE7" i="8" s="1"/>
  <c r="BE16" i="5" s="1"/>
  <c r="BD7" i="8" a="1"/>
  <c r="BD7" i="8" s="1"/>
  <c r="BD16" i="5" s="1"/>
  <c r="BC7" i="8" a="1"/>
  <c r="BC7" i="8" s="1"/>
  <c r="BC16" i="5" s="1"/>
  <c r="BB7" i="8" a="1"/>
  <c r="BB7" i="8" s="1"/>
  <c r="BB16" i="5" s="1"/>
  <c r="BA7" i="8" a="1"/>
  <c r="BA7" i="8" s="1"/>
  <c r="BA16" i="5" s="1"/>
  <c r="AZ7" i="8" a="1"/>
  <c r="AZ7" i="8" s="1"/>
  <c r="AZ16" i="5" s="1"/>
  <c r="AY7" i="8" a="1"/>
  <c r="AY7" i="8" s="1"/>
  <c r="AY16" i="5" s="1"/>
  <c r="AX7" i="8" a="1"/>
  <c r="AX7" i="8" s="1"/>
  <c r="AX16" i="5" s="1"/>
  <c r="AW7" i="8" a="1"/>
  <c r="AW7" i="8" s="1"/>
  <c r="AW16" i="5" s="1"/>
  <c r="AV7" i="8" a="1"/>
  <c r="AV7" i="8" s="1"/>
  <c r="AV16" i="5" s="1"/>
  <c r="AU7" i="8" a="1"/>
  <c r="AU7" i="8" s="1"/>
  <c r="AU16" i="5" s="1"/>
  <c r="AT7" i="8" a="1"/>
  <c r="AT7" i="8" s="1"/>
  <c r="AT16" i="5" s="1"/>
  <c r="AS7" i="8" a="1"/>
  <c r="AS7" i="8" s="1"/>
  <c r="AS16" i="5" s="1"/>
  <c r="AR7" i="8" a="1"/>
  <c r="AR7" i="8" s="1"/>
  <c r="AR16" i="5" s="1"/>
  <c r="AQ7" i="8" a="1"/>
  <c r="AQ7" i="8" s="1"/>
  <c r="AQ16" i="5" s="1"/>
  <c r="AP7" i="8" a="1"/>
  <c r="AP7" i="8" s="1"/>
  <c r="AP16" i="5" s="1"/>
  <c r="AO7" i="8" a="1"/>
  <c r="AO7" i="8" s="1"/>
  <c r="AO16" i="5" s="1"/>
  <c r="AN7" i="8" a="1"/>
  <c r="AN7" i="8" s="1"/>
  <c r="AN16" i="5" s="1"/>
  <c r="AM7" i="8" a="1"/>
  <c r="AM7" i="8" s="1"/>
  <c r="AM16" i="5" s="1"/>
  <c r="AL7" i="8" a="1"/>
  <c r="AL7" i="8" s="1"/>
  <c r="AL16" i="5" s="1"/>
  <c r="AK7" i="8" a="1"/>
  <c r="AK7" i="8" s="1"/>
  <c r="AK16" i="5" s="1"/>
  <c r="AJ7" i="8" a="1"/>
  <c r="AJ7" i="8" s="1"/>
  <c r="AJ16" i="5" s="1"/>
  <c r="AI7" i="8" a="1"/>
  <c r="AI7" i="8" s="1"/>
  <c r="AI16" i="5" s="1"/>
  <c r="AH7" i="8" a="1"/>
  <c r="AH7" i="8" s="1"/>
  <c r="AH16" i="5" s="1"/>
  <c r="AG7" i="8" a="1"/>
  <c r="AG7" i="8" s="1"/>
  <c r="AG16" i="5" s="1"/>
  <c r="AF7" i="8" a="1"/>
  <c r="AF7" i="8" s="1"/>
  <c r="AF16" i="5" s="1"/>
  <c r="AE7" i="8" a="1"/>
  <c r="AE7" i="8" s="1"/>
  <c r="AE16" i="5" s="1"/>
  <c r="AD7" i="8" a="1"/>
  <c r="AD7" i="8" s="1"/>
  <c r="AD16" i="5" s="1"/>
  <c r="AC7" i="8" a="1"/>
  <c r="AC7" i="8" s="1"/>
  <c r="AC16" i="5" s="1"/>
  <c r="AB7" i="8" a="1"/>
  <c r="AB7" i="8" s="1"/>
  <c r="AA7" i="8" a="1"/>
  <c r="AA7" i="8" s="1"/>
  <c r="AA16" i="5" s="1"/>
  <c r="Z7" i="8" a="1"/>
  <c r="Z7" i="8" s="1"/>
  <c r="Z16" i="5" s="1"/>
  <c r="Y7" i="8" a="1"/>
  <c r="Y7" i="8" s="1"/>
  <c r="Y16" i="5" s="1"/>
  <c r="X7" i="8" a="1"/>
  <c r="X7" i="8" s="1"/>
  <c r="X16" i="5" s="1"/>
  <c r="W7" i="8" a="1"/>
  <c r="W7" i="8" s="1"/>
  <c r="W16" i="5" s="1"/>
  <c r="V7" i="8" a="1"/>
  <c r="V7" i="8" s="1"/>
  <c r="V16" i="5" s="1"/>
  <c r="U7" i="8" a="1"/>
  <c r="U7" i="8" s="1"/>
  <c r="U16" i="5" s="1"/>
  <c r="T7" i="8" a="1"/>
  <c r="T7" i="8" s="1"/>
  <c r="T16" i="5" s="1"/>
  <c r="S7" i="8" a="1"/>
  <c r="S7" i="8" s="1"/>
  <c r="S16" i="5" s="1"/>
  <c r="R7" i="8" a="1"/>
  <c r="R7" i="8" s="1"/>
  <c r="R16" i="5" s="1"/>
  <c r="Q7" i="8" a="1"/>
  <c r="Q7" i="8" s="1"/>
  <c r="Q16" i="5" s="1"/>
  <c r="P7" i="8" a="1"/>
  <c r="P7" i="8" s="1"/>
  <c r="P16" i="5" s="1"/>
  <c r="O7" i="8" a="1"/>
  <c r="O7" i="8" s="1"/>
  <c r="O16" i="5" s="1"/>
  <c r="N7" i="8" a="1"/>
  <c r="N7" i="8" s="1"/>
  <c r="N16" i="5" s="1"/>
  <c r="M7" i="8" a="1"/>
  <c r="M7" i="8" s="1"/>
  <c r="M16" i="5" s="1"/>
  <c r="L7" i="8" a="1"/>
  <c r="L7" i="8" s="1"/>
  <c r="L16" i="5" s="1"/>
  <c r="K7" i="8" a="1"/>
  <c r="K7" i="8" s="1"/>
  <c r="K16" i="5" s="1"/>
  <c r="BR6" i="8" a="1"/>
  <c r="BR6" i="8" s="1"/>
  <c r="BR15" i="5" s="1"/>
  <c r="BQ6" i="8" a="1"/>
  <c r="BQ6" i="8" s="1"/>
  <c r="BQ15" i="5" s="1"/>
  <c r="BP6" i="8" a="1"/>
  <c r="BP6" i="8" s="1"/>
  <c r="BP15" i="5" s="1"/>
  <c r="BO6" i="8" a="1"/>
  <c r="BO6" i="8" s="1"/>
  <c r="BO15" i="5" s="1"/>
  <c r="BN6" i="8" a="1"/>
  <c r="BN6" i="8" s="1"/>
  <c r="BN15" i="5" s="1"/>
  <c r="BM6" i="8" a="1"/>
  <c r="BM6" i="8" s="1"/>
  <c r="BM15" i="5" s="1"/>
  <c r="BL6" i="8" a="1"/>
  <c r="BL6" i="8" s="1"/>
  <c r="BL15" i="5" s="1"/>
  <c r="BK6" i="8" a="1"/>
  <c r="BK6" i="8" s="1"/>
  <c r="BK15" i="5" s="1"/>
  <c r="BJ6" i="8" a="1"/>
  <c r="BJ6" i="8" s="1"/>
  <c r="BJ15" i="5" s="1"/>
  <c r="BI6" i="8" a="1"/>
  <c r="BI6" i="8" s="1"/>
  <c r="BI15" i="5" s="1"/>
  <c r="BH6" i="8" a="1"/>
  <c r="BH6" i="8" s="1"/>
  <c r="BH15" i="5" s="1"/>
  <c r="BG6" i="8" a="1"/>
  <c r="BG6" i="8" s="1"/>
  <c r="BG15" i="5" s="1"/>
  <c r="BF6" i="8" a="1"/>
  <c r="BF6" i="8" s="1"/>
  <c r="BF15" i="5" s="1"/>
  <c r="BE6" i="8" a="1"/>
  <c r="BE6" i="8" s="1"/>
  <c r="BE15" i="5" s="1"/>
  <c r="BD6" i="8" a="1"/>
  <c r="BD6" i="8" s="1"/>
  <c r="BD15" i="5" s="1"/>
  <c r="BC6" i="8" a="1"/>
  <c r="BC6" i="8" s="1"/>
  <c r="BB6" i="8" a="1"/>
  <c r="BB6" i="8" s="1"/>
  <c r="BB15" i="5" s="1"/>
  <c r="BA6" i="8" a="1"/>
  <c r="BA6" i="8" s="1"/>
  <c r="BA15" i="5" s="1"/>
  <c r="AZ6" i="8" a="1"/>
  <c r="AZ6" i="8" s="1"/>
  <c r="AZ15" i="5" s="1"/>
  <c r="AY6" i="8" a="1"/>
  <c r="AY6" i="8" s="1"/>
  <c r="AY15" i="5" s="1"/>
  <c r="AX6" i="8" a="1"/>
  <c r="AX6" i="8" s="1"/>
  <c r="AX15" i="5" s="1"/>
  <c r="AW6" i="8" a="1"/>
  <c r="AW6" i="8" s="1"/>
  <c r="AV6" i="8" a="1"/>
  <c r="AV6" i="8" s="1"/>
  <c r="AV15" i="5" s="1"/>
  <c r="AU6" i="8" a="1"/>
  <c r="AU6" i="8" s="1"/>
  <c r="AU15" i="5" s="1"/>
  <c r="AT6" i="8" a="1"/>
  <c r="AT6" i="8" s="1"/>
  <c r="AT15" i="5" s="1"/>
  <c r="AS6" i="8" a="1"/>
  <c r="AS6" i="8" s="1"/>
  <c r="AS15" i="5" s="1"/>
  <c r="AR6" i="8" a="1"/>
  <c r="AR6" i="8" s="1"/>
  <c r="AR15" i="5" s="1"/>
  <c r="AQ6" i="8" a="1"/>
  <c r="AQ6" i="8" s="1"/>
  <c r="AQ15" i="5" s="1"/>
  <c r="AP6" i="8" a="1"/>
  <c r="AP6" i="8" s="1"/>
  <c r="AP15" i="5" s="1"/>
  <c r="AO6" i="8" a="1"/>
  <c r="AO6" i="8" s="1"/>
  <c r="AN6" i="8" a="1"/>
  <c r="AN6" i="8" s="1"/>
  <c r="AN15" i="5" s="1"/>
  <c r="AM6" i="8" a="1"/>
  <c r="AM6" i="8" s="1"/>
  <c r="AM15" i="5" s="1"/>
  <c r="AL6" i="8" a="1"/>
  <c r="AL6" i="8" s="1"/>
  <c r="AL15" i="5" s="1"/>
  <c r="AK6" i="8" a="1"/>
  <c r="AK6" i="8" s="1"/>
  <c r="AK15" i="5" s="1"/>
  <c r="AJ6" i="8" a="1"/>
  <c r="AJ6" i="8" s="1"/>
  <c r="AJ15" i="5" s="1"/>
  <c r="AI6" i="8" a="1"/>
  <c r="AI6" i="8" s="1"/>
  <c r="AI15" i="5" s="1"/>
  <c r="AH6" i="8" a="1"/>
  <c r="AH6" i="8" s="1"/>
  <c r="AH15" i="5" s="1"/>
  <c r="AG6" i="8" a="1"/>
  <c r="AG6" i="8" s="1"/>
  <c r="AG15" i="5" s="1"/>
  <c r="AF6" i="8" a="1"/>
  <c r="AF6" i="8" s="1"/>
  <c r="AF15" i="5" s="1"/>
  <c r="AE6" i="8" a="1"/>
  <c r="AE6" i="8" s="1"/>
  <c r="AE15" i="5" s="1"/>
  <c r="AD6" i="8" a="1"/>
  <c r="AD6" i="8" s="1"/>
  <c r="AD15" i="5" s="1"/>
  <c r="AC6" i="8" a="1"/>
  <c r="AC6" i="8" s="1"/>
  <c r="AC15" i="5" s="1"/>
  <c r="AB6" i="8" a="1"/>
  <c r="AB6" i="8" s="1"/>
  <c r="AB15" i="5" s="1"/>
  <c r="AA6" i="8" a="1"/>
  <c r="AA6" i="8" s="1"/>
  <c r="AA15" i="5" s="1"/>
  <c r="Z6" i="8" a="1"/>
  <c r="Z6" i="8" s="1"/>
  <c r="Y6" i="8" a="1"/>
  <c r="Y6" i="8" s="1"/>
  <c r="Y15" i="5" s="1"/>
  <c r="X6" i="8" a="1"/>
  <c r="X6" i="8" s="1"/>
  <c r="X15" i="5" s="1"/>
  <c r="W6" i="8" a="1"/>
  <c r="W6" i="8" s="1"/>
  <c r="V6" i="8" a="1"/>
  <c r="V6" i="8" s="1"/>
  <c r="V15" i="5" s="1"/>
  <c r="U6" i="8" a="1"/>
  <c r="U6" i="8" s="1"/>
  <c r="U15" i="5" s="1"/>
  <c r="T15" i="5"/>
  <c r="R6" i="8" a="1"/>
  <c r="R6" i="8" s="1"/>
  <c r="R15" i="5" s="1"/>
  <c r="Q6" i="8" a="1"/>
  <c r="Q6" i="8" s="1"/>
  <c r="P6" i="8" a="1"/>
  <c r="P6" i="8" s="1"/>
  <c r="P15" i="5" s="1"/>
  <c r="O6" i="8" a="1"/>
  <c r="O6" i="8" s="1"/>
  <c r="O15" i="5" s="1"/>
  <c r="N6" i="8" a="1"/>
  <c r="N6" i="8" s="1"/>
  <c r="N15" i="5" s="1"/>
  <c r="M6" i="8" a="1"/>
  <c r="M6" i="8" s="1"/>
  <c r="L6" i="8" a="1"/>
  <c r="L6" i="8" s="1"/>
  <c r="L15" i="5" s="1"/>
  <c r="K6" i="8" a="1"/>
  <c r="K6" i="8" s="1"/>
  <c r="K15" i="5" s="1"/>
  <c r="S6" i="7"/>
  <c r="E35" i="5"/>
  <c r="N26" i="4"/>
  <c r="N23" i="4"/>
  <c r="S6" i="4"/>
  <c r="CB14" i="1"/>
  <c r="BS14" i="1"/>
  <c r="BH14" i="1"/>
  <c r="BG14" i="1"/>
  <c r="CB13" i="1"/>
  <c r="BS13" i="1"/>
  <c r="BU13" i="1" s="1"/>
  <c r="BG13" i="1"/>
  <c r="BU12" i="1"/>
  <c r="F12" i="7" s="1"/>
  <c r="BG12" i="1"/>
  <c r="CB11" i="1"/>
  <c r="BT11" i="1"/>
  <c r="BS11" i="1"/>
  <c r="CO11" i="1" s="1"/>
  <c r="BG11" i="1"/>
  <c r="CB10" i="1"/>
  <c r="BT10" i="1"/>
  <c r="BS10" i="1"/>
  <c r="CO10" i="1" s="1"/>
  <c r="CP10" i="1" s="1"/>
  <c r="CQ10" i="1" s="1"/>
  <c r="CR10" i="1" s="1"/>
  <c r="CS10" i="1" s="1"/>
  <c r="CT10" i="1" s="1"/>
  <c r="CU10" i="1" s="1"/>
  <c r="CV10" i="1" s="1"/>
  <c r="CW10" i="1" s="1"/>
  <c r="CX10" i="1" s="1"/>
  <c r="CY10" i="1" s="1"/>
  <c r="CZ10" i="1" s="1"/>
  <c r="DA10" i="1" s="1"/>
  <c r="DB10" i="1" s="1"/>
  <c r="DC10" i="1" s="1"/>
  <c r="DD10" i="1" s="1"/>
  <c r="DE10" i="1" s="1"/>
  <c r="DF10" i="1" s="1"/>
  <c r="DG10" i="1" s="1"/>
  <c r="DH10" i="1" s="1"/>
  <c r="DI10" i="1" s="1"/>
  <c r="DJ10" i="1" s="1"/>
  <c r="DK10" i="1" s="1"/>
  <c r="DL10" i="1" s="1"/>
  <c r="DM10" i="1" s="1"/>
  <c r="DN10" i="1" s="1"/>
  <c r="DO10" i="1" s="1"/>
  <c r="DP10" i="1" s="1"/>
  <c r="DQ10" i="1" s="1"/>
  <c r="DR10" i="1" s="1"/>
  <c r="DS10" i="1" s="1"/>
  <c r="DT10" i="1" s="1"/>
  <c r="DU10" i="1" s="1"/>
  <c r="DV10" i="1" s="1"/>
  <c r="DW10" i="1" s="1"/>
  <c r="DX10" i="1" s="1"/>
  <c r="DY10" i="1" s="1"/>
  <c r="DZ10" i="1" s="1"/>
  <c r="EA10" i="1" s="1"/>
  <c r="EB10" i="1" s="1"/>
  <c r="EC10" i="1" s="1"/>
  <c r="ED10" i="1" s="1"/>
  <c r="EE10" i="1" s="1"/>
  <c r="EF10" i="1" s="1"/>
  <c r="EG10" i="1" s="1"/>
  <c r="EH10" i="1" s="1"/>
  <c r="EI10" i="1" s="1"/>
  <c r="EJ10" i="1" s="1"/>
  <c r="EK10" i="1" s="1"/>
  <c r="EL10" i="1" s="1"/>
  <c r="EM10" i="1" s="1"/>
  <c r="EN10" i="1" s="1"/>
  <c r="EO10" i="1" s="1"/>
  <c r="EP10" i="1" s="1"/>
  <c r="EQ10" i="1" s="1"/>
  <c r="ER10" i="1" s="1"/>
  <c r="ES10" i="1" s="1"/>
  <c r="ET10" i="1" s="1"/>
  <c r="EU10" i="1" s="1"/>
  <c r="EV10" i="1" s="1"/>
  <c r="BH10" i="1"/>
  <c r="BG10" i="1"/>
  <c r="CB9" i="1"/>
  <c r="BT9" i="1"/>
  <c r="BS9" i="1"/>
  <c r="M34" i="8" l="1" a="1"/>
  <c r="M34" i="8" s="1"/>
  <c r="M14" i="6" s="1"/>
  <c r="AO33" i="8" a="1"/>
  <c r="AO33" i="8" s="1"/>
  <c r="AO13" i="6" s="1"/>
  <c r="AC30" i="8" a="1"/>
  <c r="AC30" i="8" s="1"/>
  <c r="AC10" i="6" s="1"/>
  <c r="AS34" i="8" a="1"/>
  <c r="AS34" i="8" s="1"/>
  <c r="AS14" i="6" s="1"/>
  <c r="AU35" i="8" a="1"/>
  <c r="AU35" i="8" s="1"/>
  <c r="AU15" i="6" s="1"/>
  <c r="BI30" i="8" a="1"/>
  <c r="BI30" i="8" s="1"/>
  <c r="BI10" i="6" s="1"/>
  <c r="Q35" i="8" a="1"/>
  <c r="Q35" i="8" s="1"/>
  <c r="Q15" i="6" s="1"/>
  <c r="AG31" i="8" a="1"/>
  <c r="AG31" i="8" s="1"/>
  <c r="AG11" i="6" s="1"/>
  <c r="AW35" i="8" a="1"/>
  <c r="AW35" i="8" s="1"/>
  <c r="AW15" i="6" s="1"/>
  <c r="BM31" i="8" a="1"/>
  <c r="BM31" i="8" s="1"/>
  <c r="BM11" i="6" s="1"/>
  <c r="AK32" i="8" a="1"/>
  <c r="AK32" i="8" s="1"/>
  <c r="AK12" i="6" s="1"/>
  <c r="BQ32" i="8" a="1"/>
  <c r="BQ32" i="8" s="1"/>
  <c r="BQ12" i="6" s="1"/>
  <c r="AI30" i="8" a="1"/>
  <c r="AI30" i="8" s="1"/>
  <c r="AI10" i="6" s="1"/>
  <c r="BO30" i="8" a="1"/>
  <c r="BO30" i="8" s="1"/>
  <c r="BO10" i="6" s="1"/>
  <c r="AM31" i="8" a="1"/>
  <c r="AM31" i="8" s="1"/>
  <c r="AM11" i="6" s="1"/>
  <c r="K32" i="8" a="1"/>
  <c r="K32" i="8" s="1"/>
  <c r="K12" i="6" s="1"/>
  <c r="AQ32" i="8" a="1"/>
  <c r="AQ32" i="8" s="1"/>
  <c r="AQ12" i="6" s="1"/>
  <c r="O33" i="8" a="1"/>
  <c r="O33" i="8" s="1"/>
  <c r="O13" i="6" s="1"/>
  <c r="AU33" i="8" a="1"/>
  <c r="AU33" i="8" s="1"/>
  <c r="AU13" i="6" s="1"/>
  <c r="S34" i="8" a="1"/>
  <c r="S34" i="8" s="1"/>
  <c r="S14" i="6" s="1"/>
  <c r="AY34" i="8" a="1"/>
  <c r="AY34" i="8" s="1"/>
  <c r="AY14" i="6" s="1"/>
  <c r="W35" i="8" a="1"/>
  <c r="W35" i="8" s="1"/>
  <c r="W15" i="6" s="1"/>
  <c r="BC35" i="8" a="1"/>
  <c r="BC35" i="8" s="1"/>
  <c r="BC15" i="6" s="1"/>
  <c r="AK30" i="8" a="1"/>
  <c r="AK30" i="8" s="1"/>
  <c r="AK10" i="6" s="1"/>
  <c r="BQ30" i="8" a="1"/>
  <c r="BQ30" i="8" s="1"/>
  <c r="BQ10" i="6" s="1"/>
  <c r="AO31" i="8" a="1"/>
  <c r="AO31" i="8" s="1"/>
  <c r="AO11" i="6" s="1"/>
  <c r="M32" i="8" a="1"/>
  <c r="M32" i="8" s="1"/>
  <c r="M12" i="6" s="1"/>
  <c r="AS32" i="8" a="1"/>
  <c r="AS32" i="8" s="1"/>
  <c r="AS12" i="6" s="1"/>
  <c r="Q33" i="8" a="1"/>
  <c r="Q33" i="8" s="1"/>
  <c r="Q13" i="6" s="1"/>
  <c r="AW33" i="8" a="1"/>
  <c r="AW33" i="8" s="1"/>
  <c r="AW13" i="6" s="1"/>
  <c r="U34" i="8" a="1"/>
  <c r="U34" i="8" s="1"/>
  <c r="U14" i="6" s="1"/>
  <c r="BA34" i="8" a="1"/>
  <c r="BA34" i="8" s="1"/>
  <c r="BA14" i="6" s="1"/>
  <c r="Y35" i="8" a="1"/>
  <c r="Y35" i="8" s="1"/>
  <c r="Y15" i="6" s="1"/>
  <c r="BE35" i="8" a="1"/>
  <c r="BE35" i="8" s="1"/>
  <c r="BE15" i="6" s="1"/>
  <c r="K30" i="8" a="1"/>
  <c r="K30" i="8" s="1"/>
  <c r="AQ30" i="8" a="1"/>
  <c r="AQ30" i="8" s="1"/>
  <c r="O31" i="8" a="1"/>
  <c r="O31" i="8" s="1"/>
  <c r="O11" i="6" s="1"/>
  <c r="AU31" i="8" a="1"/>
  <c r="AU31" i="8" s="1"/>
  <c r="AU11" i="6" s="1"/>
  <c r="S32" i="8" a="1"/>
  <c r="S32" i="8" s="1"/>
  <c r="S12" i="6" s="1"/>
  <c r="AY32" i="8" a="1"/>
  <c r="AY32" i="8" s="1"/>
  <c r="AY12" i="6" s="1"/>
  <c r="W33" i="8" a="1"/>
  <c r="W33" i="8" s="1"/>
  <c r="W13" i="6" s="1"/>
  <c r="BC33" i="8" a="1"/>
  <c r="BC33" i="8" s="1"/>
  <c r="BC13" i="6" s="1"/>
  <c r="AA34" i="8" a="1"/>
  <c r="AA34" i="8" s="1"/>
  <c r="AA14" i="6" s="1"/>
  <c r="BG34" i="8" a="1"/>
  <c r="BG34" i="8" s="1"/>
  <c r="BG14" i="6" s="1"/>
  <c r="AE35" i="8" a="1"/>
  <c r="AE35" i="8" s="1"/>
  <c r="AE15" i="6" s="1"/>
  <c r="BM35" i="8" a="1"/>
  <c r="BM35" i="8" s="1"/>
  <c r="BM15" i="6" s="1"/>
  <c r="M30" i="8" a="1"/>
  <c r="M30" i="8" s="1"/>
  <c r="AS30" i="8" a="1"/>
  <c r="AS30" i="8" s="1"/>
  <c r="AS10" i="6" s="1"/>
  <c r="Q31" i="8" a="1"/>
  <c r="Q31" i="8" s="1"/>
  <c r="Q11" i="6" s="1"/>
  <c r="AW31" i="8" a="1"/>
  <c r="AW31" i="8" s="1"/>
  <c r="AW11" i="6" s="1"/>
  <c r="U32" i="8" a="1"/>
  <c r="U32" i="8" s="1"/>
  <c r="U12" i="6" s="1"/>
  <c r="BA32" i="8" a="1"/>
  <c r="BA32" i="8" s="1"/>
  <c r="BA12" i="6" s="1"/>
  <c r="Y33" i="8" a="1"/>
  <c r="Y33" i="8" s="1"/>
  <c r="Y13" i="6" s="1"/>
  <c r="BE33" i="8" a="1"/>
  <c r="BE33" i="8" s="1"/>
  <c r="BE13" i="6" s="1"/>
  <c r="AC34" i="8" a="1"/>
  <c r="AC34" i="8" s="1"/>
  <c r="AC14" i="6" s="1"/>
  <c r="BI34" i="8" a="1"/>
  <c r="BI34" i="8" s="1"/>
  <c r="BI14" i="6" s="1"/>
  <c r="AG35" i="8" a="1"/>
  <c r="AG35" i="8" s="1"/>
  <c r="AG15" i="6" s="1"/>
  <c r="S30" i="8" a="1"/>
  <c r="S30" i="8" s="1"/>
  <c r="AY30" i="8" a="1"/>
  <c r="AY30" i="8" s="1"/>
  <c r="W31" i="8" a="1"/>
  <c r="W31" i="8" s="1"/>
  <c r="W11" i="6" s="1"/>
  <c r="BC31" i="8" a="1"/>
  <c r="BC31" i="8" s="1"/>
  <c r="BC11" i="6" s="1"/>
  <c r="AA32" i="8" a="1"/>
  <c r="AA32" i="8" s="1"/>
  <c r="AA12" i="6" s="1"/>
  <c r="BG32" i="8" a="1"/>
  <c r="BG32" i="8" s="1"/>
  <c r="BG12" i="6" s="1"/>
  <c r="AE33" i="8" a="1"/>
  <c r="AE33" i="8" s="1"/>
  <c r="AE13" i="6" s="1"/>
  <c r="BK33" i="8" a="1"/>
  <c r="BK33" i="8" s="1"/>
  <c r="BK13" i="6" s="1"/>
  <c r="AI34" i="8" a="1"/>
  <c r="AI34" i="8" s="1"/>
  <c r="AI14" i="6" s="1"/>
  <c r="BO34" i="8" a="1"/>
  <c r="BO34" i="8" s="1"/>
  <c r="BO14" i="6" s="1"/>
  <c r="AM35" i="8" a="1"/>
  <c r="AM35" i="8" s="1"/>
  <c r="AM15" i="6" s="1"/>
  <c r="U30" i="8" a="1"/>
  <c r="U30" i="8" s="1"/>
  <c r="U10" i="6" s="1"/>
  <c r="BA30" i="8" a="1"/>
  <c r="BA30" i="8" s="1"/>
  <c r="BA10" i="6" s="1"/>
  <c r="Y31" i="8" a="1"/>
  <c r="Y31" i="8" s="1"/>
  <c r="Y11" i="6" s="1"/>
  <c r="BE31" i="8" a="1"/>
  <c r="BE31" i="8" s="1"/>
  <c r="BE11" i="6" s="1"/>
  <c r="AC32" i="8" a="1"/>
  <c r="AC32" i="8" s="1"/>
  <c r="AC12" i="6" s="1"/>
  <c r="BI32" i="8" a="1"/>
  <c r="BI32" i="8" s="1"/>
  <c r="BI12" i="6" s="1"/>
  <c r="AG33" i="8" a="1"/>
  <c r="AG33" i="8" s="1"/>
  <c r="AG13" i="6" s="1"/>
  <c r="BM33" i="8" a="1"/>
  <c r="BM33" i="8" s="1"/>
  <c r="BM13" i="6" s="1"/>
  <c r="AK34" i="8" a="1"/>
  <c r="AK34" i="8" s="1"/>
  <c r="AK14" i="6" s="1"/>
  <c r="BQ34" i="8" a="1"/>
  <c r="BQ34" i="8" s="1"/>
  <c r="BQ14" i="6" s="1"/>
  <c r="AO35" i="8" a="1"/>
  <c r="AO35" i="8" s="1"/>
  <c r="AO15" i="6" s="1"/>
  <c r="AA30" i="8" a="1"/>
  <c r="AA30" i="8" s="1"/>
  <c r="AA10" i="6" s="1"/>
  <c r="BG30" i="8" a="1"/>
  <c r="BG30" i="8" s="1"/>
  <c r="BG10" i="6" s="1"/>
  <c r="AE31" i="8" a="1"/>
  <c r="AE31" i="8" s="1"/>
  <c r="AE11" i="6" s="1"/>
  <c r="BK31" i="8" a="1"/>
  <c r="BK31" i="8" s="1"/>
  <c r="BK11" i="6" s="1"/>
  <c r="AI32" i="8" a="1"/>
  <c r="AI32" i="8" s="1"/>
  <c r="AI12" i="6" s="1"/>
  <c r="BO32" i="8" a="1"/>
  <c r="BO32" i="8" s="1"/>
  <c r="BO12" i="6" s="1"/>
  <c r="AM33" i="8" a="1"/>
  <c r="AM33" i="8" s="1"/>
  <c r="AM13" i="6" s="1"/>
  <c r="K34" i="8" a="1"/>
  <c r="K34" i="8" s="1"/>
  <c r="K14" i="6" s="1"/>
  <c r="AQ34" i="8" a="1"/>
  <c r="AQ34" i="8" s="1"/>
  <c r="AQ14" i="6" s="1"/>
  <c r="O35" i="8" a="1"/>
  <c r="O35" i="8" s="1"/>
  <c r="O15" i="6" s="1"/>
  <c r="BR35" i="8" a="1"/>
  <c r="BR35" i="8" s="1"/>
  <c r="I35" i="8" s="1"/>
  <c r="Q24" i="10"/>
  <c r="S24" i="10" s="1"/>
  <c r="Q36" i="10"/>
  <c r="T36" i="10" s="1"/>
  <c r="Q40" i="10"/>
  <c r="S40" i="10" s="1"/>
  <c r="BK35" i="8" a="1"/>
  <c r="BK35" i="8" s="1"/>
  <c r="BK15" i="6" s="1"/>
  <c r="L30" i="8" a="1"/>
  <c r="L30" i="8" s="1"/>
  <c r="L10" i="6" s="1"/>
  <c r="T30" i="8" a="1"/>
  <c r="T30" i="8" s="1"/>
  <c r="T10" i="6" s="1"/>
  <c r="AB30" i="8" a="1"/>
  <c r="AB30" i="8" s="1"/>
  <c r="AB10" i="6" s="1"/>
  <c r="AJ30" i="8" a="1"/>
  <c r="AJ30" i="8" s="1"/>
  <c r="AR30" i="8" a="1"/>
  <c r="AR30" i="8" s="1"/>
  <c r="AR10" i="6" s="1"/>
  <c r="AZ30" i="8" a="1"/>
  <c r="AZ30" i="8" s="1"/>
  <c r="BH30" i="8" a="1"/>
  <c r="BH30" i="8" s="1"/>
  <c r="BH10" i="6" s="1"/>
  <c r="BP30" i="8" a="1"/>
  <c r="BP30" i="8" s="1"/>
  <c r="BP10" i="6" s="1"/>
  <c r="P31" i="8" a="1"/>
  <c r="P31" i="8" s="1"/>
  <c r="P11" i="6" s="1"/>
  <c r="X31" i="8" a="1"/>
  <c r="X31" i="8" s="1"/>
  <c r="X11" i="6" s="1"/>
  <c r="AF31" i="8" a="1"/>
  <c r="AF31" i="8" s="1"/>
  <c r="AF11" i="6" s="1"/>
  <c r="AN31" i="8" a="1"/>
  <c r="AN31" i="8" s="1"/>
  <c r="AN11" i="6" s="1"/>
  <c r="AV31" i="8" a="1"/>
  <c r="AV31" i="8" s="1"/>
  <c r="AV11" i="6" s="1"/>
  <c r="BD31" i="8" a="1"/>
  <c r="BD31" i="8" s="1"/>
  <c r="BD11" i="6" s="1"/>
  <c r="BL31" i="8" a="1"/>
  <c r="BL31" i="8" s="1"/>
  <c r="BL11" i="6" s="1"/>
  <c r="L32" i="8" a="1"/>
  <c r="L32" i="8" s="1"/>
  <c r="L12" i="6" s="1"/>
  <c r="T32" i="8" a="1"/>
  <c r="T32" i="8" s="1"/>
  <c r="T12" i="6" s="1"/>
  <c r="AB32" i="8" a="1"/>
  <c r="AB32" i="8" s="1"/>
  <c r="AB12" i="6" s="1"/>
  <c r="AJ32" i="8" a="1"/>
  <c r="AJ32" i="8" s="1"/>
  <c r="AJ12" i="6" s="1"/>
  <c r="AR32" i="8" a="1"/>
  <c r="AR32" i="8" s="1"/>
  <c r="AR12" i="6" s="1"/>
  <c r="AZ32" i="8" a="1"/>
  <c r="AZ32" i="8" s="1"/>
  <c r="AZ12" i="6" s="1"/>
  <c r="BH32" i="8" a="1"/>
  <c r="BH32" i="8" s="1"/>
  <c r="BH12" i="6" s="1"/>
  <c r="BP32" i="8" a="1"/>
  <c r="BP32" i="8" s="1"/>
  <c r="BP12" i="6" s="1"/>
  <c r="P33" i="8" a="1"/>
  <c r="P33" i="8" s="1"/>
  <c r="P13" i="6" s="1"/>
  <c r="X33" i="8" a="1"/>
  <c r="X33" i="8" s="1"/>
  <c r="X13" i="6" s="1"/>
  <c r="AF33" i="8" a="1"/>
  <c r="AF33" i="8" s="1"/>
  <c r="AF13" i="6" s="1"/>
  <c r="AN33" i="8" a="1"/>
  <c r="AN33" i="8" s="1"/>
  <c r="AN13" i="6" s="1"/>
  <c r="AV33" i="8" a="1"/>
  <c r="AV33" i="8" s="1"/>
  <c r="AV13" i="6" s="1"/>
  <c r="BD33" i="8" a="1"/>
  <c r="BD33" i="8" s="1"/>
  <c r="BD13" i="6" s="1"/>
  <c r="BL33" i="8" a="1"/>
  <c r="BL33" i="8" s="1"/>
  <c r="BL13" i="6" s="1"/>
  <c r="L34" i="8" a="1"/>
  <c r="L34" i="8" s="1"/>
  <c r="L14" i="6" s="1"/>
  <c r="T34" i="8" a="1"/>
  <c r="T34" i="8" s="1"/>
  <c r="T14" i="6" s="1"/>
  <c r="AB34" i="8" a="1"/>
  <c r="AB34" i="8" s="1"/>
  <c r="AB14" i="6" s="1"/>
  <c r="AJ34" i="8" a="1"/>
  <c r="AJ34" i="8" s="1"/>
  <c r="AJ14" i="6" s="1"/>
  <c r="AR34" i="8" a="1"/>
  <c r="AR34" i="8" s="1"/>
  <c r="AR14" i="6" s="1"/>
  <c r="AZ34" i="8" a="1"/>
  <c r="AZ34" i="8" s="1"/>
  <c r="AZ14" i="6" s="1"/>
  <c r="BH34" i="8" a="1"/>
  <c r="BH34" i="8" s="1"/>
  <c r="BH14" i="6" s="1"/>
  <c r="BP34" i="8" a="1"/>
  <c r="BP34" i="8" s="1"/>
  <c r="BP14" i="6" s="1"/>
  <c r="P35" i="8" a="1"/>
  <c r="P35" i="8" s="1"/>
  <c r="P15" i="6" s="1"/>
  <c r="X35" i="8" a="1"/>
  <c r="X35" i="8" s="1"/>
  <c r="X15" i="6" s="1"/>
  <c r="AF35" i="8" a="1"/>
  <c r="AF35" i="8" s="1"/>
  <c r="AF15" i="6" s="1"/>
  <c r="AN35" i="8" a="1"/>
  <c r="AN35" i="8" s="1"/>
  <c r="AN15" i="6" s="1"/>
  <c r="AV35" i="8" a="1"/>
  <c r="AV35" i="8" s="1"/>
  <c r="AV15" i="6" s="1"/>
  <c r="BD35" i="8" a="1"/>
  <c r="BD35" i="8" s="1"/>
  <c r="BD15" i="6" s="1"/>
  <c r="BL35" i="8" a="1"/>
  <c r="BL35" i="8" s="1"/>
  <c r="BL15" i="6" s="1"/>
  <c r="Q60" i="10"/>
  <c r="S60" i="10" s="1"/>
  <c r="Q28" i="10"/>
  <c r="T28" i="10" s="1"/>
  <c r="N30" i="8" a="1"/>
  <c r="N30" i="8" s="1"/>
  <c r="N10" i="6" s="1"/>
  <c r="V30" i="8" a="1"/>
  <c r="V30" i="8" s="1"/>
  <c r="V10" i="6" s="1"/>
  <c r="E10" i="6" s="1"/>
  <c r="AD30" i="8" a="1"/>
  <c r="AD30" i="8" s="1"/>
  <c r="AD10" i="6" s="1"/>
  <c r="AL30" i="8" a="1"/>
  <c r="AL30" i="8" s="1"/>
  <c r="AL10" i="6" s="1"/>
  <c r="AT30" i="8" a="1"/>
  <c r="AT30" i="8" s="1"/>
  <c r="AT10" i="6" s="1"/>
  <c r="G10" i="6" s="1"/>
  <c r="BB30" i="8" a="1"/>
  <c r="BB30" i="8" s="1"/>
  <c r="BB10" i="6" s="1"/>
  <c r="BJ30" i="8" a="1"/>
  <c r="BJ30" i="8" s="1"/>
  <c r="BJ10" i="6" s="1"/>
  <c r="BR30" i="8" a="1"/>
  <c r="BR30" i="8" s="1"/>
  <c r="I30" i="8" s="1"/>
  <c r="R31" i="8" a="1"/>
  <c r="R31" i="8" s="1"/>
  <c r="R11" i="6" s="1"/>
  <c r="Z31" i="8" a="1"/>
  <c r="Z31" i="8" s="1"/>
  <c r="Z11" i="6" s="1"/>
  <c r="AH31" i="8" a="1"/>
  <c r="AH31" i="8" s="1"/>
  <c r="AH11" i="6" s="1"/>
  <c r="F11" i="6" s="1"/>
  <c r="AP31" i="8" a="1"/>
  <c r="AP31" i="8" s="1"/>
  <c r="AP11" i="6" s="1"/>
  <c r="AX31" i="8" a="1"/>
  <c r="AX31" i="8" s="1"/>
  <c r="AX11" i="6" s="1"/>
  <c r="BF31" i="8" a="1"/>
  <c r="BF31" i="8" s="1"/>
  <c r="BF11" i="6" s="1"/>
  <c r="H11" i="6" s="1"/>
  <c r="BN31" i="8" a="1"/>
  <c r="BN31" i="8" s="1"/>
  <c r="BN11" i="6" s="1"/>
  <c r="N32" i="8" a="1"/>
  <c r="N32" i="8" s="1"/>
  <c r="N12" i="6" s="1"/>
  <c r="V32" i="8" a="1"/>
  <c r="V32" i="8" s="1"/>
  <c r="E32" i="8" s="1"/>
  <c r="AD32" i="8" a="1"/>
  <c r="AD32" i="8" s="1"/>
  <c r="AD12" i="6" s="1"/>
  <c r="AL32" i="8" a="1"/>
  <c r="AL32" i="8" s="1"/>
  <c r="AL12" i="6" s="1"/>
  <c r="AT32" i="8" a="1"/>
  <c r="AT32" i="8" s="1"/>
  <c r="G32" i="8" s="1"/>
  <c r="BB32" i="8" a="1"/>
  <c r="BB32" i="8" s="1"/>
  <c r="BB12" i="6" s="1"/>
  <c r="BJ32" i="8" a="1"/>
  <c r="BJ32" i="8" s="1"/>
  <c r="BJ12" i="6" s="1"/>
  <c r="BR32" i="8" a="1"/>
  <c r="BR32" i="8" s="1"/>
  <c r="BR12" i="6" s="1"/>
  <c r="I12" i="6" s="1"/>
  <c r="R33" i="8" a="1"/>
  <c r="R33" i="8" s="1"/>
  <c r="R13" i="6" s="1"/>
  <c r="Z33" i="8" a="1"/>
  <c r="Z33" i="8" s="1"/>
  <c r="Z13" i="6" s="1"/>
  <c r="AH33" i="8" a="1"/>
  <c r="AH33" i="8" s="1"/>
  <c r="AH13" i="6" s="1"/>
  <c r="F13" i="6" s="1"/>
  <c r="AP33" i="8" a="1"/>
  <c r="AP33" i="8" s="1"/>
  <c r="AP13" i="6" s="1"/>
  <c r="AX33" i="8" a="1"/>
  <c r="AX33" i="8" s="1"/>
  <c r="AX13" i="6" s="1"/>
  <c r="BF33" i="8" a="1"/>
  <c r="BF33" i="8" s="1"/>
  <c r="BN33" i="8" a="1"/>
  <c r="BN33" i="8" s="1"/>
  <c r="BN13" i="6" s="1"/>
  <c r="N34" i="8" a="1"/>
  <c r="N34" i="8" s="1"/>
  <c r="N14" i="6" s="1"/>
  <c r="V34" i="8" a="1"/>
  <c r="V34" i="8" s="1"/>
  <c r="E34" i="8" s="1"/>
  <c r="AD34" i="8" a="1"/>
  <c r="AD34" i="8" s="1"/>
  <c r="AD14" i="6" s="1"/>
  <c r="AL34" i="8" a="1"/>
  <c r="AL34" i="8" s="1"/>
  <c r="AL14" i="6" s="1"/>
  <c r="AT34" i="8" a="1"/>
  <c r="AT34" i="8" s="1"/>
  <c r="G34" i="8" s="1"/>
  <c r="BB34" i="8" a="1"/>
  <c r="BB34" i="8" s="1"/>
  <c r="BB14" i="6" s="1"/>
  <c r="BJ34" i="8" a="1"/>
  <c r="BJ34" i="8" s="1"/>
  <c r="BJ14" i="6" s="1"/>
  <c r="BR34" i="8" a="1"/>
  <c r="BR34" i="8" s="1"/>
  <c r="R35" i="8" a="1"/>
  <c r="R35" i="8" s="1"/>
  <c r="R15" i="6" s="1"/>
  <c r="Z35" i="8" a="1"/>
  <c r="Z35" i="8" s="1"/>
  <c r="Z15" i="6" s="1"/>
  <c r="AH35" i="8" a="1"/>
  <c r="AH35" i="8" s="1"/>
  <c r="F35" i="8" s="1"/>
  <c r="AP35" i="8" a="1"/>
  <c r="AP35" i="8" s="1"/>
  <c r="AP15" i="6" s="1"/>
  <c r="AX35" i="8" a="1"/>
  <c r="AX35" i="8" s="1"/>
  <c r="AX15" i="6" s="1"/>
  <c r="BF35" i="8" a="1"/>
  <c r="BF35" i="8" s="1"/>
  <c r="H35" i="8" s="1"/>
  <c r="BN35" i="8" a="1"/>
  <c r="BN35" i="8" s="1"/>
  <c r="BN15" i="6" s="1"/>
  <c r="Q20" i="10"/>
  <c r="S20" i="10" s="1"/>
  <c r="O30" i="8" a="1"/>
  <c r="O30" i="8" s="1"/>
  <c r="W30" i="8" a="1"/>
  <c r="W30" i="8" s="1"/>
  <c r="W10" i="6" s="1"/>
  <c r="AE30" i="8" a="1"/>
  <c r="AE30" i="8" s="1"/>
  <c r="AE10" i="6" s="1"/>
  <c r="AM30" i="8" a="1"/>
  <c r="AM30" i="8" s="1"/>
  <c r="AM10" i="6" s="1"/>
  <c r="AU30" i="8" a="1"/>
  <c r="AU30" i="8" s="1"/>
  <c r="BC30" i="8" a="1"/>
  <c r="BC30" i="8" s="1"/>
  <c r="BK30" i="8" a="1"/>
  <c r="BK30" i="8" s="1"/>
  <c r="K31" i="8" a="1"/>
  <c r="K31" i="8" s="1"/>
  <c r="K11" i="6" s="1"/>
  <c r="S31" i="8" a="1"/>
  <c r="S31" i="8" s="1"/>
  <c r="S11" i="6" s="1"/>
  <c r="AA31" i="8" a="1"/>
  <c r="AA31" i="8" s="1"/>
  <c r="AA11" i="6" s="1"/>
  <c r="AI31" i="8" a="1"/>
  <c r="AI31" i="8" s="1"/>
  <c r="AI11" i="6" s="1"/>
  <c r="AQ31" i="8" a="1"/>
  <c r="AQ31" i="8" s="1"/>
  <c r="AQ11" i="6" s="1"/>
  <c r="AY31" i="8" a="1"/>
  <c r="AY31" i="8" s="1"/>
  <c r="AY11" i="6" s="1"/>
  <c r="BG31" i="8" a="1"/>
  <c r="BG31" i="8" s="1"/>
  <c r="BG11" i="6" s="1"/>
  <c r="BO31" i="8" a="1"/>
  <c r="BO31" i="8" s="1"/>
  <c r="BO11" i="6" s="1"/>
  <c r="O32" i="8" a="1"/>
  <c r="O32" i="8" s="1"/>
  <c r="O12" i="6" s="1"/>
  <c r="W32" i="8" a="1"/>
  <c r="W32" i="8" s="1"/>
  <c r="W12" i="6" s="1"/>
  <c r="AE32" i="8" a="1"/>
  <c r="AE32" i="8" s="1"/>
  <c r="AE12" i="6" s="1"/>
  <c r="AM32" i="8" a="1"/>
  <c r="AM32" i="8" s="1"/>
  <c r="AM12" i="6" s="1"/>
  <c r="AU32" i="8" a="1"/>
  <c r="AU32" i="8" s="1"/>
  <c r="AU12" i="6" s="1"/>
  <c r="BC32" i="8" a="1"/>
  <c r="BC32" i="8" s="1"/>
  <c r="BC12" i="6" s="1"/>
  <c r="BK32" i="8" a="1"/>
  <c r="BK32" i="8" s="1"/>
  <c r="BK12" i="6" s="1"/>
  <c r="K33" i="8" a="1"/>
  <c r="K33" i="8" s="1"/>
  <c r="K13" i="6" s="1"/>
  <c r="S33" i="8" a="1"/>
  <c r="S33" i="8" s="1"/>
  <c r="S13" i="6" s="1"/>
  <c r="AA33" i="8" a="1"/>
  <c r="AA33" i="8" s="1"/>
  <c r="AA13" i="6" s="1"/>
  <c r="AI33" i="8" a="1"/>
  <c r="AI33" i="8" s="1"/>
  <c r="AI13" i="6" s="1"/>
  <c r="AQ33" i="8" a="1"/>
  <c r="AQ33" i="8" s="1"/>
  <c r="AQ13" i="6" s="1"/>
  <c r="AY33" i="8" a="1"/>
  <c r="AY33" i="8" s="1"/>
  <c r="AY13" i="6" s="1"/>
  <c r="BG33" i="8" a="1"/>
  <c r="BG33" i="8" s="1"/>
  <c r="BG13" i="6" s="1"/>
  <c r="BO33" i="8" a="1"/>
  <c r="BO33" i="8" s="1"/>
  <c r="BO13" i="6" s="1"/>
  <c r="O34" i="8" a="1"/>
  <c r="O34" i="8" s="1"/>
  <c r="O14" i="6" s="1"/>
  <c r="W34" i="8" a="1"/>
  <c r="W34" i="8" s="1"/>
  <c r="W14" i="6" s="1"/>
  <c r="AE34" i="8" a="1"/>
  <c r="AE34" i="8" s="1"/>
  <c r="AE14" i="6" s="1"/>
  <c r="AM34" i="8" a="1"/>
  <c r="AM34" i="8" s="1"/>
  <c r="AM14" i="6" s="1"/>
  <c r="AU34" i="8" a="1"/>
  <c r="AU34" i="8" s="1"/>
  <c r="AU14" i="6" s="1"/>
  <c r="BC34" i="8" a="1"/>
  <c r="BC34" i="8" s="1"/>
  <c r="BC14" i="6" s="1"/>
  <c r="BK34" i="8" a="1"/>
  <c r="BK34" i="8" s="1"/>
  <c r="BK14" i="6" s="1"/>
  <c r="K35" i="8" a="1"/>
  <c r="K35" i="8" s="1"/>
  <c r="K15" i="6" s="1"/>
  <c r="S35" i="8" a="1"/>
  <c r="S35" i="8" s="1"/>
  <c r="S15" i="6" s="1"/>
  <c r="AA35" i="8" a="1"/>
  <c r="AA35" i="8" s="1"/>
  <c r="AA15" i="6" s="1"/>
  <c r="AI35" i="8" a="1"/>
  <c r="AI35" i="8" s="1"/>
  <c r="AI15" i="6" s="1"/>
  <c r="AQ35" i="8" a="1"/>
  <c r="AQ35" i="8" s="1"/>
  <c r="AQ15" i="6" s="1"/>
  <c r="AY35" i="8" a="1"/>
  <c r="AY35" i="8" s="1"/>
  <c r="AY15" i="6" s="1"/>
  <c r="BG35" i="8" a="1"/>
  <c r="BG35" i="8" s="1"/>
  <c r="BG15" i="6" s="1"/>
  <c r="BO35" i="8" a="1"/>
  <c r="BO35" i="8" s="1"/>
  <c r="BO15" i="6" s="1"/>
  <c r="T48" i="10"/>
  <c r="P30" i="8" a="1"/>
  <c r="P30" i="8" s="1"/>
  <c r="P10" i="6" s="1"/>
  <c r="X30" i="8" a="1"/>
  <c r="X30" i="8" s="1"/>
  <c r="X10" i="6" s="1"/>
  <c r="AF30" i="8" a="1"/>
  <c r="AF30" i="8" s="1"/>
  <c r="AF10" i="6" s="1"/>
  <c r="AN30" i="8" a="1"/>
  <c r="AN30" i="8" s="1"/>
  <c r="AN10" i="6" s="1"/>
  <c r="AV30" i="8" a="1"/>
  <c r="AV30" i="8" s="1"/>
  <c r="AV10" i="6" s="1"/>
  <c r="BD30" i="8" a="1"/>
  <c r="BD30" i="8" s="1"/>
  <c r="BD10" i="6" s="1"/>
  <c r="BL30" i="8" a="1"/>
  <c r="BL30" i="8" s="1"/>
  <c r="BL10" i="6" s="1"/>
  <c r="L31" i="8" a="1"/>
  <c r="L31" i="8" s="1"/>
  <c r="L11" i="6" s="1"/>
  <c r="T31" i="8" a="1"/>
  <c r="T31" i="8" s="1"/>
  <c r="T11" i="6" s="1"/>
  <c r="AB31" i="8" a="1"/>
  <c r="AB31" i="8" s="1"/>
  <c r="AB11" i="6" s="1"/>
  <c r="AJ31" i="8" a="1"/>
  <c r="AJ31" i="8" s="1"/>
  <c r="AJ11" i="6" s="1"/>
  <c r="AR31" i="8" a="1"/>
  <c r="AR31" i="8" s="1"/>
  <c r="AR11" i="6" s="1"/>
  <c r="AZ31" i="8" a="1"/>
  <c r="AZ31" i="8" s="1"/>
  <c r="AZ11" i="6" s="1"/>
  <c r="BH31" i="8" a="1"/>
  <c r="BH31" i="8" s="1"/>
  <c r="BH11" i="6" s="1"/>
  <c r="BP31" i="8" a="1"/>
  <c r="BP31" i="8" s="1"/>
  <c r="BP11" i="6" s="1"/>
  <c r="P32" i="8" a="1"/>
  <c r="P32" i="8" s="1"/>
  <c r="P12" i="6" s="1"/>
  <c r="X32" i="8" a="1"/>
  <c r="X32" i="8" s="1"/>
  <c r="X12" i="6" s="1"/>
  <c r="AF32" i="8" a="1"/>
  <c r="AF32" i="8" s="1"/>
  <c r="AF12" i="6" s="1"/>
  <c r="AN32" i="8" a="1"/>
  <c r="AN32" i="8" s="1"/>
  <c r="AN12" i="6" s="1"/>
  <c r="AV32" i="8" a="1"/>
  <c r="AV32" i="8" s="1"/>
  <c r="AV12" i="6" s="1"/>
  <c r="BD32" i="8" a="1"/>
  <c r="BD32" i="8" s="1"/>
  <c r="BD12" i="6" s="1"/>
  <c r="BL32" i="8" a="1"/>
  <c r="BL32" i="8" s="1"/>
  <c r="BL12" i="6" s="1"/>
  <c r="L33" i="8" a="1"/>
  <c r="L33" i="8" s="1"/>
  <c r="L13" i="6" s="1"/>
  <c r="T33" i="8" a="1"/>
  <c r="T33" i="8" s="1"/>
  <c r="T13" i="6" s="1"/>
  <c r="AB33" i="8" a="1"/>
  <c r="AB33" i="8" s="1"/>
  <c r="AB13" i="6" s="1"/>
  <c r="AJ33" i="8" a="1"/>
  <c r="AJ33" i="8" s="1"/>
  <c r="AJ13" i="6" s="1"/>
  <c r="AR33" i="8" a="1"/>
  <c r="AR33" i="8" s="1"/>
  <c r="AR13" i="6" s="1"/>
  <c r="AZ33" i="8" a="1"/>
  <c r="AZ33" i="8" s="1"/>
  <c r="AZ13" i="6" s="1"/>
  <c r="BH33" i="8" a="1"/>
  <c r="BH33" i="8" s="1"/>
  <c r="BH13" i="6" s="1"/>
  <c r="BP33" i="8" a="1"/>
  <c r="BP33" i="8" s="1"/>
  <c r="BP13" i="6" s="1"/>
  <c r="P34" i="8" a="1"/>
  <c r="P34" i="8" s="1"/>
  <c r="P14" i="6" s="1"/>
  <c r="X34" i="8" a="1"/>
  <c r="X34" i="8" s="1"/>
  <c r="X14" i="6" s="1"/>
  <c r="AF34" i="8" a="1"/>
  <c r="AF34" i="8" s="1"/>
  <c r="AF14" i="6" s="1"/>
  <c r="AN34" i="8" a="1"/>
  <c r="AN34" i="8" s="1"/>
  <c r="AN14" i="6" s="1"/>
  <c r="AV34" i="8" a="1"/>
  <c r="AV34" i="8" s="1"/>
  <c r="AV14" i="6" s="1"/>
  <c r="BD34" i="8" a="1"/>
  <c r="BD34" i="8" s="1"/>
  <c r="BD14" i="6" s="1"/>
  <c r="BL34" i="8" a="1"/>
  <c r="BL34" i="8" s="1"/>
  <c r="BL14" i="6" s="1"/>
  <c r="L35" i="8" a="1"/>
  <c r="L35" i="8" s="1"/>
  <c r="L15" i="6" s="1"/>
  <c r="T35" i="8" a="1"/>
  <c r="T35" i="8" s="1"/>
  <c r="T15" i="6" s="1"/>
  <c r="AB35" i="8" a="1"/>
  <c r="AB35" i="8" s="1"/>
  <c r="AB15" i="6" s="1"/>
  <c r="AJ35" i="8" a="1"/>
  <c r="AJ35" i="8" s="1"/>
  <c r="AJ15" i="6" s="1"/>
  <c r="AR35" i="8" a="1"/>
  <c r="AR35" i="8" s="1"/>
  <c r="AR15" i="6" s="1"/>
  <c r="AZ35" i="8" a="1"/>
  <c r="AZ35" i="8" s="1"/>
  <c r="AZ15" i="6" s="1"/>
  <c r="BH35" i="8" a="1"/>
  <c r="BH35" i="8" s="1"/>
  <c r="BH15" i="6" s="1"/>
  <c r="BP35" i="8" a="1"/>
  <c r="BP35" i="8" s="1"/>
  <c r="BP15" i="6" s="1"/>
  <c r="Q64" i="10"/>
  <c r="S64" i="10" s="1"/>
  <c r="Q30" i="8" a="1"/>
  <c r="Q30" i="8" s="1"/>
  <c r="Q10" i="6" s="1"/>
  <c r="Y30" i="8" a="1"/>
  <c r="Y30" i="8" s="1"/>
  <c r="Y10" i="6" s="1"/>
  <c r="AG30" i="8" a="1"/>
  <c r="AG30" i="8" s="1"/>
  <c r="AG10" i="6" s="1"/>
  <c r="AO30" i="8" a="1"/>
  <c r="AO30" i="8" s="1"/>
  <c r="AO10" i="6" s="1"/>
  <c r="AW30" i="8" a="1"/>
  <c r="AW30" i="8" s="1"/>
  <c r="AW10" i="6" s="1"/>
  <c r="BE30" i="8" a="1"/>
  <c r="BE30" i="8" s="1"/>
  <c r="BE10" i="6" s="1"/>
  <c r="BM30" i="8" a="1"/>
  <c r="BM30" i="8" s="1"/>
  <c r="BM10" i="6" s="1"/>
  <c r="M31" i="8" a="1"/>
  <c r="M31" i="8" s="1"/>
  <c r="M11" i="6" s="1"/>
  <c r="U31" i="8" a="1"/>
  <c r="U31" i="8" s="1"/>
  <c r="U11" i="6" s="1"/>
  <c r="AC31" i="8" a="1"/>
  <c r="AC31" i="8" s="1"/>
  <c r="AC11" i="6" s="1"/>
  <c r="AK31" i="8" a="1"/>
  <c r="AK31" i="8" s="1"/>
  <c r="AK11" i="6" s="1"/>
  <c r="AS31" i="8" a="1"/>
  <c r="AS31" i="8" s="1"/>
  <c r="AS11" i="6" s="1"/>
  <c r="BA31" i="8" a="1"/>
  <c r="BA31" i="8" s="1"/>
  <c r="BA11" i="6" s="1"/>
  <c r="BI31" i="8" a="1"/>
  <c r="BI31" i="8" s="1"/>
  <c r="BI11" i="6" s="1"/>
  <c r="BQ31" i="8" a="1"/>
  <c r="BQ31" i="8" s="1"/>
  <c r="BQ11" i="6" s="1"/>
  <c r="Q32" i="8" a="1"/>
  <c r="Q32" i="8" s="1"/>
  <c r="Q12" i="6" s="1"/>
  <c r="Y32" i="8" a="1"/>
  <c r="Y32" i="8" s="1"/>
  <c r="Y12" i="6" s="1"/>
  <c r="AG32" i="8" a="1"/>
  <c r="AG32" i="8" s="1"/>
  <c r="AG12" i="6" s="1"/>
  <c r="AO32" i="8" a="1"/>
  <c r="AO32" i="8" s="1"/>
  <c r="AO12" i="6" s="1"/>
  <c r="AW32" i="8" a="1"/>
  <c r="AW32" i="8" s="1"/>
  <c r="AW12" i="6" s="1"/>
  <c r="BE32" i="8" a="1"/>
  <c r="BE32" i="8" s="1"/>
  <c r="BE12" i="6" s="1"/>
  <c r="BM32" i="8" a="1"/>
  <c r="BM32" i="8" s="1"/>
  <c r="BM12" i="6" s="1"/>
  <c r="M33" i="8" a="1"/>
  <c r="M33" i="8" s="1"/>
  <c r="M13" i="6" s="1"/>
  <c r="U33" i="8" a="1"/>
  <c r="U33" i="8" s="1"/>
  <c r="U13" i="6" s="1"/>
  <c r="AC33" i="8" a="1"/>
  <c r="AC33" i="8" s="1"/>
  <c r="AC13" i="6" s="1"/>
  <c r="AK33" i="8" a="1"/>
  <c r="AK33" i="8" s="1"/>
  <c r="AK13" i="6" s="1"/>
  <c r="AS33" i="8" a="1"/>
  <c r="AS33" i="8" s="1"/>
  <c r="AS13" i="6" s="1"/>
  <c r="BA33" i="8" a="1"/>
  <c r="BA33" i="8" s="1"/>
  <c r="BA13" i="6" s="1"/>
  <c r="BI33" i="8" a="1"/>
  <c r="BI33" i="8" s="1"/>
  <c r="BI13" i="6" s="1"/>
  <c r="BQ33" i="8" a="1"/>
  <c r="BQ33" i="8" s="1"/>
  <c r="BQ13" i="6" s="1"/>
  <c r="Q34" i="8" a="1"/>
  <c r="Q34" i="8" s="1"/>
  <c r="Q14" i="6" s="1"/>
  <c r="Y34" i="8" a="1"/>
  <c r="Y34" i="8" s="1"/>
  <c r="Y14" i="6" s="1"/>
  <c r="AG34" i="8" a="1"/>
  <c r="AG34" i="8" s="1"/>
  <c r="AG14" i="6" s="1"/>
  <c r="AO34" i="8" a="1"/>
  <c r="AO34" i="8" s="1"/>
  <c r="AO14" i="6" s="1"/>
  <c r="AW34" i="8" a="1"/>
  <c r="AW34" i="8" s="1"/>
  <c r="AW14" i="6" s="1"/>
  <c r="BE34" i="8" a="1"/>
  <c r="BE34" i="8" s="1"/>
  <c r="BE14" i="6" s="1"/>
  <c r="BM34" i="8" a="1"/>
  <c r="BM34" i="8" s="1"/>
  <c r="BM14" i="6" s="1"/>
  <c r="M35" i="8" a="1"/>
  <c r="M35" i="8" s="1"/>
  <c r="M15" i="6" s="1"/>
  <c r="U35" i="8" a="1"/>
  <c r="U35" i="8" s="1"/>
  <c r="U15" i="6" s="1"/>
  <c r="AC35" i="8" a="1"/>
  <c r="AC35" i="8" s="1"/>
  <c r="AC15" i="6" s="1"/>
  <c r="AK35" i="8" a="1"/>
  <c r="AK35" i="8" s="1"/>
  <c r="AK15" i="6" s="1"/>
  <c r="AS35" i="8" a="1"/>
  <c r="AS35" i="8" s="1"/>
  <c r="AS15" i="6" s="1"/>
  <c r="BA35" i="8" a="1"/>
  <c r="BA35" i="8" s="1"/>
  <c r="BA15" i="6" s="1"/>
  <c r="BI35" i="8" a="1"/>
  <c r="BI35" i="8" s="1"/>
  <c r="BI15" i="6" s="1"/>
  <c r="BQ35" i="8" a="1"/>
  <c r="BQ35" i="8" s="1"/>
  <c r="BQ15" i="6" s="1"/>
  <c r="R30" i="8" a="1"/>
  <c r="R30" i="8" s="1"/>
  <c r="R10" i="6" s="1"/>
  <c r="Z30" i="8" a="1"/>
  <c r="Z30" i="8" s="1"/>
  <c r="Z10" i="6" s="1"/>
  <c r="AH30" i="8" a="1"/>
  <c r="AH30" i="8" s="1"/>
  <c r="AH10" i="6" s="1"/>
  <c r="F10" i="6" s="1"/>
  <c r="AP30" i="8" a="1"/>
  <c r="AP30" i="8" s="1"/>
  <c r="AP10" i="6" s="1"/>
  <c r="AX30" i="8" a="1"/>
  <c r="AX30" i="8" s="1"/>
  <c r="AX10" i="6" s="1"/>
  <c r="BF30" i="8" a="1"/>
  <c r="BF30" i="8" s="1"/>
  <c r="BN30" i="8" a="1"/>
  <c r="BN30" i="8" s="1"/>
  <c r="BN10" i="6" s="1"/>
  <c r="N31" i="8" a="1"/>
  <c r="N31" i="8" s="1"/>
  <c r="N11" i="6" s="1"/>
  <c r="V31" i="8" a="1"/>
  <c r="V31" i="8" s="1"/>
  <c r="V11" i="6" s="1"/>
  <c r="AD31" i="8" a="1"/>
  <c r="AD31" i="8" s="1"/>
  <c r="AD11" i="6" s="1"/>
  <c r="AL31" i="8" a="1"/>
  <c r="AL31" i="8" s="1"/>
  <c r="AL11" i="6" s="1"/>
  <c r="AT31" i="8" a="1"/>
  <c r="AT31" i="8" s="1"/>
  <c r="AT11" i="6" s="1"/>
  <c r="G11" i="6" s="1"/>
  <c r="BB31" i="8" a="1"/>
  <c r="BB31" i="8" s="1"/>
  <c r="BB11" i="6" s="1"/>
  <c r="BJ31" i="8" a="1"/>
  <c r="BJ31" i="8" s="1"/>
  <c r="BJ11" i="6" s="1"/>
  <c r="BR31" i="8" a="1"/>
  <c r="BR31" i="8" s="1"/>
  <c r="I31" i="8" s="1"/>
  <c r="R32" i="8" a="1"/>
  <c r="R32" i="8" s="1"/>
  <c r="R12" i="6" s="1"/>
  <c r="Z32" i="8" a="1"/>
  <c r="Z32" i="8" s="1"/>
  <c r="Z12" i="6" s="1"/>
  <c r="AH32" i="8" a="1"/>
  <c r="AH32" i="8" s="1"/>
  <c r="AH12" i="6" s="1"/>
  <c r="F12" i="6" s="1"/>
  <c r="AP32" i="8" a="1"/>
  <c r="AP32" i="8" s="1"/>
  <c r="AP12" i="6" s="1"/>
  <c r="AX32" i="8" a="1"/>
  <c r="AX32" i="8" s="1"/>
  <c r="AX12" i="6" s="1"/>
  <c r="BF32" i="8" a="1"/>
  <c r="BF32" i="8" s="1"/>
  <c r="H32" i="8" s="1"/>
  <c r="BN32" i="8" a="1"/>
  <c r="BN32" i="8" s="1"/>
  <c r="BN12" i="6" s="1"/>
  <c r="N33" i="8" a="1"/>
  <c r="N33" i="8" s="1"/>
  <c r="N13" i="6" s="1"/>
  <c r="V33" i="8" a="1"/>
  <c r="V33" i="8" s="1"/>
  <c r="E33" i="8" s="1"/>
  <c r="AD33" i="8" a="1"/>
  <c r="AD33" i="8" s="1"/>
  <c r="AD13" i="6" s="1"/>
  <c r="AL33" i="8" a="1"/>
  <c r="AL33" i="8" s="1"/>
  <c r="AL13" i="6" s="1"/>
  <c r="AT33" i="8" a="1"/>
  <c r="AT33" i="8" s="1"/>
  <c r="G33" i="8" s="1"/>
  <c r="BB33" i="8" a="1"/>
  <c r="BB33" i="8" s="1"/>
  <c r="BB13" i="6" s="1"/>
  <c r="BJ33" i="8" a="1"/>
  <c r="BJ33" i="8" s="1"/>
  <c r="BJ13" i="6" s="1"/>
  <c r="BR33" i="8" a="1"/>
  <c r="BR33" i="8" s="1"/>
  <c r="R34" i="8" a="1"/>
  <c r="R34" i="8" s="1"/>
  <c r="R14" i="6" s="1"/>
  <c r="Z34" i="8" a="1"/>
  <c r="Z34" i="8" s="1"/>
  <c r="Z14" i="6" s="1"/>
  <c r="AH34" i="8" a="1"/>
  <c r="AH34" i="8" s="1"/>
  <c r="AH14" i="6" s="1"/>
  <c r="F14" i="6" s="1"/>
  <c r="AP34" i="8" a="1"/>
  <c r="AP34" i="8" s="1"/>
  <c r="AP14" i="6" s="1"/>
  <c r="AX34" i="8" a="1"/>
  <c r="AX34" i="8" s="1"/>
  <c r="AX14" i="6" s="1"/>
  <c r="BF34" i="8" a="1"/>
  <c r="BF34" i="8" s="1"/>
  <c r="BF14" i="6" s="1"/>
  <c r="H14" i="6" s="1"/>
  <c r="BN34" i="8" a="1"/>
  <c r="BN34" i="8" s="1"/>
  <c r="BN14" i="6" s="1"/>
  <c r="N35" i="8" a="1"/>
  <c r="N35" i="8" s="1"/>
  <c r="N15" i="6" s="1"/>
  <c r="V35" i="8" a="1"/>
  <c r="V35" i="8" s="1"/>
  <c r="V15" i="6" s="1"/>
  <c r="E15" i="6" s="1"/>
  <c r="AD35" i="8" a="1"/>
  <c r="AD35" i="8" s="1"/>
  <c r="AD15" i="6" s="1"/>
  <c r="AL35" i="8" a="1"/>
  <c r="AL35" i="8" s="1"/>
  <c r="AL15" i="6" s="1"/>
  <c r="AT35" i="8" a="1"/>
  <c r="AT35" i="8" s="1"/>
  <c r="AT15" i="6" s="1"/>
  <c r="G15" i="6" s="1"/>
  <c r="BB35" i="8" a="1"/>
  <c r="BB35" i="8" s="1"/>
  <c r="BB15" i="6" s="1"/>
  <c r="BJ35" i="8" a="1"/>
  <c r="BJ35" i="8" s="1"/>
  <c r="BJ15" i="6" s="1"/>
  <c r="AX11" i="9"/>
  <c r="AG11" i="9"/>
  <c r="AW11" i="9"/>
  <c r="BM11" i="9"/>
  <c r="AH11" i="9"/>
  <c r="BN11" i="9"/>
  <c r="AY11" i="9"/>
  <c r="U11" i="9"/>
  <c r="BA11" i="9"/>
  <c r="AA11" i="9"/>
  <c r="AI11" i="9"/>
  <c r="AQ11" i="9"/>
  <c r="BG11" i="9"/>
  <c r="BO11" i="9"/>
  <c r="AC11" i="9"/>
  <c r="AS11" i="9"/>
  <c r="BI11" i="9"/>
  <c r="M11" i="9"/>
  <c r="AK11" i="9"/>
  <c r="BQ11" i="9"/>
  <c r="R11" i="9"/>
  <c r="Z11" i="9"/>
  <c r="BP11" i="9"/>
  <c r="K11" i="9"/>
  <c r="S11" i="9"/>
  <c r="AP11" i="9"/>
  <c r="BF11" i="9"/>
  <c r="H12" i="7"/>
  <c r="AU12" i="7" s="1"/>
  <c r="I12" i="7"/>
  <c r="BG12" i="7" s="1"/>
  <c r="BG32" i="9" s="1"/>
  <c r="G20" i="5"/>
  <c r="AX21" i="5"/>
  <c r="H16" i="5"/>
  <c r="BJ21" i="5"/>
  <c r="BF21" i="5"/>
  <c r="Q22" i="10"/>
  <c r="T22" i="10" s="1"/>
  <c r="N21" i="5"/>
  <c r="Q7" i="10"/>
  <c r="T7" i="10" s="1"/>
  <c r="Q17" i="10"/>
  <c r="S17" i="10" s="1"/>
  <c r="Q25" i="10"/>
  <c r="T25" i="10" s="1"/>
  <c r="Q23" i="10"/>
  <c r="T23" i="10" s="1"/>
  <c r="Q26" i="10"/>
  <c r="T26" i="10" s="1"/>
  <c r="Q29" i="10"/>
  <c r="S29" i="10" s="1"/>
  <c r="AH21" i="5"/>
  <c r="Q27" i="10"/>
  <c r="S27" i="10" s="1"/>
  <c r="G12" i="7"/>
  <c r="AQ12" i="7" s="1"/>
  <c r="AQ32" i="9" s="1"/>
  <c r="AP21" i="5"/>
  <c r="Q21" i="10"/>
  <c r="T21" i="10" s="1"/>
  <c r="Q30" i="10"/>
  <c r="T30" i="10" s="1"/>
  <c r="L28" i="6"/>
  <c r="M28" i="6" s="1"/>
  <c r="M29" i="5" s="1"/>
  <c r="Q19" i="10"/>
  <c r="T19" i="10" s="1"/>
  <c r="Q18" i="10"/>
  <c r="S18" i="10" s="1"/>
  <c r="L11" i="9"/>
  <c r="T11" i="9"/>
  <c r="AB11" i="9"/>
  <c r="AJ11" i="9"/>
  <c r="AR11" i="9"/>
  <c r="AZ11" i="9"/>
  <c r="BH11" i="9"/>
  <c r="Q11" i="9"/>
  <c r="Y11" i="9"/>
  <c r="AO11" i="9"/>
  <c r="BE11" i="9"/>
  <c r="K27" i="6"/>
  <c r="K28" i="5" s="1"/>
  <c r="P15" i="4"/>
  <c r="K24" i="5"/>
  <c r="G7" i="9"/>
  <c r="AL21" i="5"/>
  <c r="R44" i="8"/>
  <c r="S15" i="5" s="1"/>
  <c r="S21" i="5" s="1"/>
  <c r="AD21" i="5"/>
  <c r="BB21" i="5"/>
  <c r="BR21" i="5"/>
  <c r="AC44" i="8"/>
  <c r="AC22" i="5" s="1"/>
  <c r="F42" i="8"/>
  <c r="BN21" i="5"/>
  <c r="V21" i="5"/>
  <c r="AT12" i="6"/>
  <c r="G12" i="6" s="1"/>
  <c r="I15" i="5"/>
  <c r="R21" i="5"/>
  <c r="AQ10" i="6"/>
  <c r="I32" i="8"/>
  <c r="AZ10" i="6"/>
  <c r="AH12" i="7"/>
  <c r="AH32" i="9" s="1"/>
  <c r="AQ16" i="10"/>
  <c r="Z12" i="8"/>
  <c r="Z15" i="5"/>
  <c r="Z21" i="5" s="1"/>
  <c r="O10" i="6"/>
  <c r="AW12" i="8"/>
  <c r="AW15" i="5"/>
  <c r="AW21" i="5" s="1"/>
  <c r="BC12" i="8"/>
  <c r="BC15" i="5"/>
  <c r="BC21" i="5" s="1"/>
  <c r="M12" i="8"/>
  <c r="M15" i="5"/>
  <c r="BC10" i="6"/>
  <c r="AY10" i="6"/>
  <c r="BK10" i="6"/>
  <c r="H33" i="8"/>
  <c r="BF13" i="6"/>
  <c r="H13" i="6" s="1"/>
  <c r="K10" i="6"/>
  <c r="I41" i="8"/>
  <c r="E12" i="7"/>
  <c r="N12" i="7" s="1"/>
  <c r="N32" i="9" s="1"/>
  <c r="F8" i="8"/>
  <c r="W17" i="5"/>
  <c r="F17" i="5" s="1"/>
  <c r="H10" i="8"/>
  <c r="AU19" i="5"/>
  <c r="Q12" i="8"/>
  <c r="Q15" i="5"/>
  <c r="Q21" i="5" s="1"/>
  <c r="W12" i="8"/>
  <c r="W15" i="5"/>
  <c r="E10" i="8"/>
  <c r="L19" i="5"/>
  <c r="L21" i="5" s="1"/>
  <c r="F10" i="8"/>
  <c r="X19" i="5"/>
  <c r="F19" i="5" s="1"/>
  <c r="M10" i="6"/>
  <c r="I34" i="8"/>
  <c r="BR14" i="6"/>
  <c r="I14" i="6" s="1"/>
  <c r="EP9" i="1"/>
  <c r="BL7" i="7" s="1"/>
  <c r="BL12" i="9" s="1"/>
  <c r="EH9" i="1"/>
  <c r="BD7" i="7" s="1"/>
  <c r="BD12" i="9" s="1"/>
  <c r="DZ9" i="1"/>
  <c r="AV7" i="7" s="1"/>
  <c r="AV12" i="9" s="1"/>
  <c r="DR9" i="1"/>
  <c r="AN7" i="7" s="1"/>
  <c r="AN12" i="9" s="1"/>
  <c r="DJ9" i="1"/>
  <c r="AF7" i="7" s="1"/>
  <c r="AF12" i="9" s="1"/>
  <c r="DB9" i="1"/>
  <c r="X7" i="7" s="1"/>
  <c r="X12" i="9" s="1"/>
  <c r="CT9" i="1"/>
  <c r="P7" i="7" s="1"/>
  <c r="P12" i="9" s="1"/>
  <c r="EO9" i="1"/>
  <c r="BK7" i="7" s="1"/>
  <c r="BK12" i="9" s="1"/>
  <c r="EG9" i="1"/>
  <c r="BC7" i="7" s="1"/>
  <c r="BC12" i="9" s="1"/>
  <c r="DY9" i="1"/>
  <c r="AU7" i="7" s="1"/>
  <c r="DQ9" i="1"/>
  <c r="AM7" i="7" s="1"/>
  <c r="AM12" i="9" s="1"/>
  <c r="DI9" i="1"/>
  <c r="AE7" i="7" s="1"/>
  <c r="AE12" i="9" s="1"/>
  <c r="DA9" i="1"/>
  <c r="W7" i="7" s="1"/>
  <c r="CS9" i="1"/>
  <c r="O7" i="7" s="1"/>
  <c r="O12" i="9" s="1"/>
  <c r="EV9" i="1"/>
  <c r="BR7" i="7" s="1"/>
  <c r="BR12" i="9" s="1"/>
  <c r="EN9" i="1"/>
  <c r="BJ7" i="7" s="1"/>
  <c r="BJ12" i="9" s="1"/>
  <c r="EF9" i="1"/>
  <c r="BB7" i="7" s="1"/>
  <c r="BB12" i="9" s="1"/>
  <c r="DX9" i="1"/>
  <c r="AT7" i="7" s="1"/>
  <c r="AT12" i="9" s="1"/>
  <c r="DP9" i="1"/>
  <c r="AL7" i="7" s="1"/>
  <c r="AL12" i="9" s="1"/>
  <c r="DH9" i="1"/>
  <c r="AD7" i="7" s="1"/>
  <c r="AD12" i="9" s="1"/>
  <c r="CZ9" i="1"/>
  <c r="V7" i="7" s="1"/>
  <c r="V12" i="9" s="1"/>
  <c r="CR9" i="1"/>
  <c r="N7" i="7" s="1"/>
  <c r="N12" i="9" s="1"/>
  <c r="EU9" i="1"/>
  <c r="BQ7" i="7" s="1"/>
  <c r="BQ12" i="9" s="1"/>
  <c r="EM9" i="1"/>
  <c r="BI7" i="7" s="1"/>
  <c r="BI12" i="9" s="1"/>
  <c r="EE9" i="1"/>
  <c r="BA7" i="7" s="1"/>
  <c r="BA12" i="9" s="1"/>
  <c r="DW9" i="1"/>
  <c r="AS7" i="7" s="1"/>
  <c r="AS12" i="9" s="1"/>
  <c r="DO9" i="1"/>
  <c r="AK7" i="7" s="1"/>
  <c r="AK12" i="9" s="1"/>
  <c r="DG9" i="1"/>
  <c r="AC7" i="7" s="1"/>
  <c r="AC12" i="9" s="1"/>
  <c r="CY9" i="1"/>
  <c r="U7" i="7" s="1"/>
  <c r="U12" i="9" s="1"/>
  <c r="CQ9" i="1"/>
  <c r="M7" i="7" s="1"/>
  <c r="M12" i="9" s="1"/>
  <c r="ET9" i="1"/>
  <c r="BP7" i="7" s="1"/>
  <c r="BP12" i="9" s="1"/>
  <c r="EL9" i="1"/>
  <c r="BH7" i="7" s="1"/>
  <c r="BH12" i="9" s="1"/>
  <c r="ED9" i="1"/>
  <c r="AZ7" i="7" s="1"/>
  <c r="AZ12" i="9" s="1"/>
  <c r="DV9" i="1"/>
  <c r="AR7" i="7" s="1"/>
  <c r="AR12" i="9" s="1"/>
  <c r="DN9" i="1"/>
  <c r="AJ7" i="7" s="1"/>
  <c r="AJ12" i="9" s="1"/>
  <c r="DF9" i="1"/>
  <c r="AB7" i="7" s="1"/>
  <c r="AB12" i="9" s="1"/>
  <c r="CX9" i="1"/>
  <c r="T7" i="7" s="1"/>
  <c r="T12" i="9" s="1"/>
  <c r="CP9" i="1"/>
  <c r="L7" i="7" s="1"/>
  <c r="L12" i="9" s="1"/>
  <c r="ES9" i="1"/>
  <c r="BO7" i="7" s="1"/>
  <c r="BO12" i="9" s="1"/>
  <c r="EK9" i="1"/>
  <c r="BG7" i="7" s="1"/>
  <c r="EC9" i="1"/>
  <c r="AY7" i="7" s="1"/>
  <c r="AY12" i="9" s="1"/>
  <c r="DU9" i="1"/>
  <c r="AQ7" i="7" s="1"/>
  <c r="AQ12" i="9" s="1"/>
  <c r="DM9" i="1"/>
  <c r="AI7" i="7" s="1"/>
  <c r="DE9" i="1"/>
  <c r="AA7" i="7" s="1"/>
  <c r="AA12" i="9" s="1"/>
  <c r="CW9" i="1"/>
  <c r="S7" i="7" s="1"/>
  <c r="S12" i="9" s="1"/>
  <c r="CO9" i="1"/>
  <c r="K8" i="7" s="1"/>
  <c r="ER9" i="1"/>
  <c r="BN7" i="7" s="1"/>
  <c r="BN12" i="9" s="1"/>
  <c r="EJ9" i="1"/>
  <c r="BF7" i="7" s="1"/>
  <c r="BF12" i="9" s="1"/>
  <c r="EB9" i="1"/>
  <c r="AX7" i="7" s="1"/>
  <c r="AX12" i="9" s="1"/>
  <c r="DT9" i="1"/>
  <c r="AP7" i="7" s="1"/>
  <c r="AP12" i="9" s="1"/>
  <c r="DL9" i="1"/>
  <c r="AH7" i="7" s="1"/>
  <c r="AH12" i="9" s="1"/>
  <c r="DD9" i="1"/>
  <c r="Z7" i="7" s="1"/>
  <c r="Z12" i="9" s="1"/>
  <c r="CV9" i="1"/>
  <c r="R7" i="7" s="1"/>
  <c r="R12" i="9" s="1"/>
  <c r="EQ9" i="1"/>
  <c r="BM7" i="7" s="1"/>
  <c r="BM12" i="9" s="1"/>
  <c r="EI9" i="1"/>
  <c r="BE7" i="7" s="1"/>
  <c r="BE12" i="9" s="1"/>
  <c r="EA9" i="1"/>
  <c r="AW7" i="7" s="1"/>
  <c r="AW12" i="9" s="1"/>
  <c r="DS9" i="1"/>
  <c r="AO7" i="7" s="1"/>
  <c r="AO12" i="9" s="1"/>
  <c r="DK9" i="1"/>
  <c r="AG7" i="7" s="1"/>
  <c r="AG12" i="9" s="1"/>
  <c r="DC9" i="1"/>
  <c r="Y7" i="7" s="1"/>
  <c r="Y12" i="9" s="1"/>
  <c r="CU9" i="1"/>
  <c r="Q7" i="7" s="1"/>
  <c r="Q12" i="9" s="1"/>
  <c r="AO12" i="8"/>
  <c r="AO15" i="5"/>
  <c r="G15" i="5" s="1"/>
  <c r="AB12" i="8"/>
  <c r="AB16" i="5"/>
  <c r="AB21" i="5" s="1"/>
  <c r="AJ10" i="6"/>
  <c r="H31" i="8"/>
  <c r="AM44" i="8"/>
  <c r="AY44" i="8"/>
  <c r="BM44" i="8"/>
  <c r="BN44" i="8"/>
  <c r="I39" i="8"/>
  <c r="T44" i="8"/>
  <c r="AH44" i="8"/>
  <c r="F40" i="8"/>
  <c r="CP11" i="1"/>
  <c r="K29" i="5"/>
  <c r="K35" i="9"/>
  <c r="K37" i="9" s="1"/>
  <c r="L25" i="6"/>
  <c r="L23" i="6"/>
  <c r="AY21" i="5"/>
  <c r="BO21" i="5"/>
  <c r="F18" i="5"/>
  <c r="H18" i="5"/>
  <c r="I11" i="7"/>
  <c r="AW15" i="10" s="1"/>
  <c r="F11" i="7"/>
  <c r="W11" i="7" s="1"/>
  <c r="T21" i="5"/>
  <c r="E11" i="7"/>
  <c r="AO15" i="10" s="1"/>
  <c r="H8" i="8"/>
  <c r="G16" i="5"/>
  <c r="AE21" i="5"/>
  <c r="I16" i="5"/>
  <c r="AM21" i="5"/>
  <c r="G11" i="7"/>
  <c r="AS15" i="10" s="1"/>
  <c r="AT21" i="5"/>
  <c r="H11" i="7"/>
  <c r="AU15" i="10" s="1"/>
  <c r="BF12" i="8"/>
  <c r="O21" i="5"/>
  <c r="E17" i="5"/>
  <c r="G17" i="5"/>
  <c r="I17" i="5"/>
  <c r="AG12" i="7"/>
  <c r="AG32" i="9" s="1"/>
  <c r="AB12" i="7"/>
  <c r="AB32" i="9" s="1"/>
  <c r="Z12" i="7"/>
  <c r="Z32" i="9" s="1"/>
  <c r="U12" i="8"/>
  <c r="BH12" i="8"/>
  <c r="AA21" i="5"/>
  <c r="AQ21" i="5"/>
  <c r="BG21" i="5"/>
  <c r="E18" i="5"/>
  <c r="G18" i="5"/>
  <c r="I18" i="5"/>
  <c r="AA12" i="7"/>
  <c r="AA32" i="9" s="1"/>
  <c r="AK12" i="8"/>
  <c r="AJ21" i="5"/>
  <c r="AR21" i="5"/>
  <c r="AZ21" i="5"/>
  <c r="BH21" i="5"/>
  <c r="BP21" i="5"/>
  <c r="F20" i="5"/>
  <c r="N12" i="8"/>
  <c r="G9" i="8"/>
  <c r="BI12" i="8"/>
  <c r="BP12" i="8"/>
  <c r="BQ12" i="8"/>
  <c r="G8" i="8"/>
  <c r="I19" i="5"/>
  <c r="T12" i="8"/>
  <c r="AW44" i="8"/>
  <c r="H9" i="8"/>
  <c r="I8" i="8"/>
  <c r="AC12" i="8"/>
  <c r="AJ12" i="8"/>
  <c r="AR12" i="8"/>
  <c r="AZ12" i="8"/>
  <c r="AS12" i="8"/>
  <c r="BA12" i="8"/>
  <c r="AD44" i="8"/>
  <c r="AV44" i="8"/>
  <c r="BA44" i="8"/>
  <c r="E39" i="8"/>
  <c r="M44" i="8"/>
  <c r="AP44" i="8"/>
  <c r="BB44" i="8"/>
  <c r="E8" i="9"/>
  <c r="F8" i="9"/>
  <c r="G8" i="9"/>
  <c r="H8" i="9"/>
  <c r="I8" i="9"/>
  <c r="H10" i="9"/>
  <c r="N44" i="8"/>
  <c r="AF44" i="8"/>
  <c r="AK44" i="8"/>
  <c r="BC44" i="8"/>
  <c r="BH44" i="8"/>
  <c r="H39" i="8"/>
  <c r="Z44" i="8"/>
  <c r="BD44" i="8"/>
  <c r="BI44" i="8"/>
  <c r="U44" i="8"/>
  <c r="AX44" i="8"/>
  <c r="BO44" i="8"/>
  <c r="N11" i="9"/>
  <c r="V11" i="9"/>
  <c r="AD11" i="9"/>
  <c r="AL11" i="9"/>
  <c r="AT11" i="9"/>
  <c r="BB11" i="9"/>
  <c r="BJ11" i="9"/>
  <c r="BR11" i="9"/>
  <c r="E9" i="9"/>
  <c r="G9" i="9"/>
  <c r="I9" i="9"/>
  <c r="AS44" i="8"/>
  <c r="BK44" i="8"/>
  <c r="H40" i="8"/>
  <c r="G41" i="8"/>
  <c r="O11" i="9"/>
  <c r="W11" i="9"/>
  <c r="AE11" i="9"/>
  <c r="AM11" i="9"/>
  <c r="AU11" i="9"/>
  <c r="BC11" i="9"/>
  <c r="BK11" i="9"/>
  <c r="BL44" i="8"/>
  <c r="P11" i="9"/>
  <c r="X11" i="9"/>
  <c r="AF11" i="9"/>
  <c r="AN11" i="9"/>
  <c r="AV11" i="9"/>
  <c r="BD11" i="9"/>
  <c r="BL11" i="9"/>
  <c r="F9" i="9"/>
  <c r="H9" i="9"/>
  <c r="AO44" i="8"/>
  <c r="AZ44" i="8"/>
  <c r="BF44" i="8"/>
  <c r="BR44" i="8"/>
  <c r="E10" i="9"/>
  <c r="F10" i="9"/>
  <c r="G10" i="9"/>
  <c r="I10" i="9"/>
  <c r="S37" i="10"/>
  <c r="T37" i="10"/>
  <c r="Q49" i="10"/>
  <c r="S49" i="10" s="1"/>
  <c r="Q56" i="10"/>
  <c r="T56" i="10" s="1"/>
  <c r="Q32" i="10"/>
  <c r="T32" i="10" s="1"/>
  <c r="Q53" i="10"/>
  <c r="S53" i="10" s="1"/>
  <c r="Q62" i="10"/>
  <c r="S62" i="10" s="1"/>
  <c r="Q38" i="10"/>
  <c r="T38" i="10" s="1"/>
  <c r="Q50" i="10"/>
  <c r="T50" i="10" s="1"/>
  <c r="Q33" i="10"/>
  <c r="S33" i="10" s="1"/>
  <c r="Q44" i="10"/>
  <c r="T44" i="10" s="1"/>
  <c r="Q54" i="10"/>
  <c r="T54" i="10" s="1"/>
  <c r="S57" i="10"/>
  <c r="T57" i="10"/>
  <c r="S65" i="10"/>
  <c r="T65" i="10"/>
  <c r="S41" i="10"/>
  <c r="T41" i="10"/>
  <c r="Q45" i="10"/>
  <c r="S45" i="10" s="1"/>
  <c r="Q58" i="10"/>
  <c r="T58" i="10" s="1"/>
  <c r="Q66" i="10"/>
  <c r="T66" i="10" s="1"/>
  <c r="Q42" i="10"/>
  <c r="S42" i="10" s="1"/>
  <c r="Q46" i="10"/>
  <c r="S46" i="10" s="1"/>
  <c r="Q52" i="10"/>
  <c r="T52" i="10" s="1"/>
  <c r="S61" i="10"/>
  <c r="T61" i="10"/>
  <c r="Q31" i="10"/>
  <c r="T31" i="10" s="1"/>
  <c r="Q35" i="10"/>
  <c r="S35" i="10" s="1"/>
  <c r="S36" i="10"/>
  <c r="Q39" i="10"/>
  <c r="T39" i="10" s="1"/>
  <c r="Q43" i="10"/>
  <c r="S43" i="10" s="1"/>
  <c r="Q47" i="10"/>
  <c r="T47" i="10" s="1"/>
  <c r="S48" i="10"/>
  <c r="Q51" i="10"/>
  <c r="T51" i="10" s="1"/>
  <c r="Q55" i="10"/>
  <c r="T55" i="10" s="1"/>
  <c r="Q59" i="10"/>
  <c r="T59" i="10" s="1"/>
  <c r="Q63" i="10"/>
  <c r="T63" i="10" s="1"/>
  <c r="Q34" i="10"/>
  <c r="S34" i="10" s="1"/>
  <c r="H7" i="9"/>
  <c r="I7" i="9"/>
  <c r="E6" i="9"/>
  <c r="E7" i="9"/>
  <c r="F7" i="9"/>
  <c r="H11" i="8"/>
  <c r="E7" i="8"/>
  <c r="L12" i="8"/>
  <c r="E9" i="8"/>
  <c r="I11" i="8"/>
  <c r="AE12" i="8"/>
  <c r="V12" i="8"/>
  <c r="AA12" i="8"/>
  <c r="BB12" i="8"/>
  <c r="BG12" i="8"/>
  <c r="E8" i="8"/>
  <c r="AX12" i="8"/>
  <c r="I7" i="8"/>
  <c r="G11" i="8"/>
  <c r="K12" i="8"/>
  <c r="AT12" i="8"/>
  <c r="AY12" i="8"/>
  <c r="X12" i="8"/>
  <c r="AG12" i="8"/>
  <c r="AP12" i="8"/>
  <c r="AU12" i="8"/>
  <c r="BD12" i="8"/>
  <c r="BM12" i="8"/>
  <c r="H7" i="8"/>
  <c r="F11" i="8"/>
  <c r="BL12" i="8"/>
  <c r="AQ12" i="8"/>
  <c r="BR12" i="8"/>
  <c r="G7" i="8"/>
  <c r="F9" i="8"/>
  <c r="E11" i="8"/>
  <c r="AN12" i="8"/>
  <c r="R12" i="8"/>
  <c r="AF12" i="8"/>
  <c r="AM12" i="8"/>
  <c r="AV12" i="8"/>
  <c r="BE12" i="8"/>
  <c r="BN12" i="8"/>
  <c r="F7" i="8"/>
  <c r="BK12" i="8"/>
  <c r="I9" i="8"/>
  <c r="F6" i="8"/>
  <c r="O12" i="8"/>
  <c r="AL12" i="8"/>
  <c r="H6" i="8"/>
  <c r="Y12" i="8"/>
  <c r="AH12" i="8"/>
  <c r="I6" i="8"/>
  <c r="P12" i="8"/>
  <c r="AD12" i="8"/>
  <c r="AI12" i="8"/>
  <c r="G6" i="8"/>
  <c r="BJ12" i="8"/>
  <c r="BO12" i="8"/>
  <c r="G10" i="8"/>
  <c r="I10" i="8"/>
  <c r="G30" i="8"/>
  <c r="AE44" i="8"/>
  <c r="BG44" i="8"/>
  <c r="I38" i="8"/>
  <c r="O44" i="8"/>
  <c r="AL44" i="8"/>
  <c r="BJ44" i="8"/>
  <c r="G38" i="8"/>
  <c r="V44" i="8"/>
  <c r="AA44" i="8"/>
  <c r="G43" i="8"/>
  <c r="W44" i="8"/>
  <c r="F38" i="8"/>
  <c r="AT44" i="8"/>
  <c r="BQ44" i="8"/>
  <c r="AU44" i="8"/>
  <c r="H38" i="8"/>
  <c r="F39" i="8"/>
  <c r="G39" i="8"/>
  <c r="AB44" i="8"/>
  <c r="I40" i="8"/>
  <c r="F41" i="8"/>
  <c r="H43" i="8"/>
  <c r="S44" i="8"/>
  <c r="X44" i="8"/>
  <c r="AG44" i="8"/>
  <c r="E40" i="8"/>
  <c r="G40" i="8"/>
  <c r="F43" i="8"/>
  <c r="I42" i="8"/>
  <c r="E38" i="8"/>
  <c r="K44" i="8"/>
  <c r="P44" i="8"/>
  <c r="Y44" i="8"/>
  <c r="AQ44" i="8"/>
  <c r="BE44" i="8"/>
  <c r="E41" i="8"/>
  <c r="E42" i="8"/>
  <c r="L44" i="8"/>
  <c r="AR44" i="8"/>
  <c r="G42" i="8"/>
  <c r="H42" i="8"/>
  <c r="Q44" i="8"/>
  <c r="AI44" i="8"/>
  <c r="AN44" i="8"/>
  <c r="E43" i="8"/>
  <c r="I43" i="8"/>
  <c r="AJ44" i="8"/>
  <c r="BP44" i="8"/>
  <c r="H41" i="8"/>
  <c r="AC12" i="7"/>
  <c r="AC32" i="9" s="1"/>
  <c r="AD12" i="7"/>
  <c r="AD32" i="9" s="1"/>
  <c r="W12" i="7"/>
  <c r="AE12" i="7"/>
  <c r="AE32" i="9" s="1"/>
  <c r="X12" i="7"/>
  <c r="X32" i="9" s="1"/>
  <c r="AF12" i="7"/>
  <c r="AF32" i="9" s="1"/>
  <c r="Y12" i="7"/>
  <c r="Y32" i="9" s="1"/>
  <c r="K21" i="5"/>
  <c r="AI21" i="5"/>
  <c r="E16" i="5"/>
  <c r="U21" i="5"/>
  <c r="AC21" i="5"/>
  <c r="AK21" i="5"/>
  <c r="AS21" i="5"/>
  <c r="BA21" i="5"/>
  <c r="BI21" i="5"/>
  <c r="BQ21" i="5"/>
  <c r="H17" i="5"/>
  <c r="G19" i="5"/>
  <c r="P21" i="5"/>
  <c r="AF21" i="5"/>
  <c r="AN21" i="5"/>
  <c r="AV21" i="5"/>
  <c r="BD21" i="5"/>
  <c r="BL21" i="5"/>
  <c r="BK21" i="5"/>
  <c r="Y21" i="5"/>
  <c r="AG21" i="5"/>
  <c r="BE21" i="5"/>
  <c r="BM21" i="5"/>
  <c r="E20" i="5"/>
  <c r="H20" i="5"/>
  <c r="I20" i="5"/>
  <c r="CI10" i="1"/>
  <c r="F31" i="8" l="1"/>
  <c r="AT14" i="6"/>
  <c r="G14" i="6" s="1"/>
  <c r="AC19" i="9"/>
  <c r="BR11" i="6"/>
  <c r="I11" i="6" s="1"/>
  <c r="T17" i="10"/>
  <c r="G31" i="8"/>
  <c r="H34" i="8"/>
  <c r="AC16" i="6"/>
  <c r="BF12" i="6"/>
  <c r="H12" i="6" s="1"/>
  <c r="E35" i="8"/>
  <c r="N28" i="6"/>
  <c r="O28" i="6" s="1"/>
  <c r="O29" i="5" s="1"/>
  <c r="Z16" i="6"/>
  <c r="U16" i="6"/>
  <c r="Q16" i="6"/>
  <c r="AT13" i="6"/>
  <c r="G13" i="6" s="1"/>
  <c r="Y36" i="8"/>
  <c r="S55" i="10"/>
  <c r="S63" i="10"/>
  <c r="F30" i="8"/>
  <c r="W16" i="6"/>
  <c r="AA16" i="6"/>
  <c r="AS16" i="6"/>
  <c r="BA16" i="6"/>
  <c r="S19" i="10"/>
  <c r="BN16" i="6"/>
  <c r="BJ16" i="6"/>
  <c r="T33" i="10"/>
  <c r="T29" i="10"/>
  <c r="S7" i="10"/>
  <c r="T24" i="10"/>
  <c r="S52" i="10"/>
  <c r="M16" i="6"/>
  <c r="T16" i="6"/>
  <c r="P16" i="6"/>
  <c r="S36" i="8"/>
  <c r="R16" i="6"/>
  <c r="N16" i="6"/>
  <c r="AE36" i="8"/>
  <c r="AY16" i="6"/>
  <c r="F33" i="8"/>
  <c r="V14" i="6"/>
  <c r="E14" i="6" s="1"/>
  <c r="BR10" i="6"/>
  <c r="I10" i="6" s="1"/>
  <c r="AF16" i="6"/>
  <c r="AB16" i="6"/>
  <c r="X16" i="6"/>
  <c r="S28" i="10"/>
  <c r="O36" i="8"/>
  <c r="AW16" i="6"/>
  <c r="V12" i="6"/>
  <c r="E12" i="6" s="1"/>
  <c r="AK16" i="6"/>
  <c r="AG16" i="6"/>
  <c r="X36" i="8"/>
  <c r="BE16" i="6"/>
  <c r="T46" i="10"/>
  <c r="Y16" i="6"/>
  <c r="AE16" i="6"/>
  <c r="AM16" i="6"/>
  <c r="BR36" i="8"/>
  <c r="I36" i="8" s="1"/>
  <c r="E30" i="8"/>
  <c r="K36" i="8"/>
  <c r="AI16" i="6"/>
  <c r="AQ36" i="8"/>
  <c r="AZ16" i="6"/>
  <c r="AI36" i="8"/>
  <c r="V36" i="8"/>
  <c r="E36" i="8" s="1"/>
  <c r="BE36" i="8"/>
  <c r="S50" i="10"/>
  <c r="BL36" i="8"/>
  <c r="T20" i="10"/>
  <c r="W36" i="8"/>
  <c r="T40" i="10"/>
  <c r="AQ16" i="6"/>
  <c r="BN36" i="8"/>
  <c r="P36" i="8"/>
  <c r="R36" i="8"/>
  <c r="T62" i="10"/>
  <c r="AH15" i="6"/>
  <c r="F15" i="6" s="1"/>
  <c r="S23" i="10"/>
  <c r="AF36" i="8"/>
  <c r="BJ36" i="8"/>
  <c r="AC36" i="8"/>
  <c r="AA36" i="8"/>
  <c r="S10" i="6"/>
  <c r="S16" i="6" s="1"/>
  <c r="BP16" i="6"/>
  <c r="AU36" i="8"/>
  <c r="BB16" i="6"/>
  <c r="AX16" i="6"/>
  <c r="AP16" i="6"/>
  <c r="AL16" i="6"/>
  <c r="AV16" i="6"/>
  <c r="AR16" i="6"/>
  <c r="AN16" i="6"/>
  <c r="AJ36" i="8"/>
  <c r="AM36" i="8"/>
  <c r="BR15" i="6"/>
  <c r="I15" i="6" s="1"/>
  <c r="AJ16" i="6"/>
  <c r="BI16" i="6"/>
  <c r="BM16" i="6"/>
  <c r="L16" i="6"/>
  <c r="BL16" i="6"/>
  <c r="BH16" i="6"/>
  <c r="BD16" i="6"/>
  <c r="AB36" i="8"/>
  <c r="T36" i="8"/>
  <c r="AH36" i="8"/>
  <c r="F36" i="8" s="1"/>
  <c r="S56" i="10"/>
  <c r="K16" i="6"/>
  <c r="BR13" i="6"/>
  <c r="I13" i="6" s="1"/>
  <c r="O16" i="6"/>
  <c r="BQ16" i="6"/>
  <c r="G35" i="8"/>
  <c r="F32" i="8"/>
  <c r="BD36" i="8"/>
  <c r="S51" i="10"/>
  <c r="BA36" i="8"/>
  <c r="AK36" i="8"/>
  <c r="S47" i="10"/>
  <c r="T42" i="10"/>
  <c r="Z36" i="8"/>
  <c r="BM36" i="8"/>
  <c r="F34" i="8"/>
  <c r="E31" i="8"/>
  <c r="BI36" i="8"/>
  <c r="BO36" i="8"/>
  <c r="BQ36" i="8"/>
  <c r="AT36" i="8"/>
  <c r="G36" i="8" s="1"/>
  <c r="BB12" i="7"/>
  <c r="BB32" i="9" s="1"/>
  <c r="AD16" i="6"/>
  <c r="AV36" i="8"/>
  <c r="Q36" i="8"/>
  <c r="BO16" i="6"/>
  <c r="L36" i="8"/>
  <c r="BG16" i="6"/>
  <c r="AW36" i="8"/>
  <c r="U36" i="8"/>
  <c r="T49" i="10"/>
  <c r="N36" i="8"/>
  <c r="AS36" i="8"/>
  <c r="BB36" i="8"/>
  <c r="BF15" i="6"/>
  <c r="H15" i="6" s="1"/>
  <c r="BG36" i="8"/>
  <c r="I33" i="8"/>
  <c r="BC36" i="8"/>
  <c r="AD36" i="8"/>
  <c r="S30" i="10"/>
  <c r="T60" i="10"/>
  <c r="M36" i="8"/>
  <c r="AY36" i="8"/>
  <c r="BP36" i="8"/>
  <c r="AZ36" i="8"/>
  <c r="BC16" i="6"/>
  <c r="BF10" i="6"/>
  <c r="H10" i="6" s="1"/>
  <c r="H30" i="8"/>
  <c r="AN36" i="8"/>
  <c r="S44" i="10"/>
  <c r="BF36" i="8"/>
  <c r="H36" i="8" s="1"/>
  <c r="AU10" i="6"/>
  <c r="AU16" i="6" s="1"/>
  <c r="AO16" i="6"/>
  <c r="BK16" i="6"/>
  <c r="V13" i="6"/>
  <c r="E13" i="6" s="1"/>
  <c r="T27" i="10"/>
  <c r="BH36" i="8"/>
  <c r="AP36" i="8"/>
  <c r="AR36" i="8"/>
  <c r="AX36" i="8"/>
  <c r="AL36" i="8"/>
  <c r="AG36" i="8"/>
  <c r="AO36" i="8"/>
  <c r="BK36" i="8"/>
  <c r="T64" i="10"/>
  <c r="BQ12" i="7"/>
  <c r="BQ32" i="9" s="1"/>
  <c r="BO12" i="7"/>
  <c r="BO32" i="9" s="1"/>
  <c r="BH12" i="7"/>
  <c r="BH32" i="9" s="1"/>
  <c r="AW16" i="10"/>
  <c r="BJ12" i="7"/>
  <c r="BJ32" i="9" s="1"/>
  <c r="BK12" i="7"/>
  <c r="BK32" i="9" s="1"/>
  <c r="BR12" i="7"/>
  <c r="BR32" i="9" s="1"/>
  <c r="O12" i="7"/>
  <c r="O32" i="9" s="1"/>
  <c r="BD11" i="7"/>
  <c r="BD30" i="9" s="1"/>
  <c r="BM12" i="7"/>
  <c r="BM32" i="9" s="1"/>
  <c r="BL12" i="7"/>
  <c r="BL32" i="9" s="1"/>
  <c r="BP12" i="7"/>
  <c r="BP32" i="9" s="1"/>
  <c r="V11" i="7"/>
  <c r="V30" i="9" s="1"/>
  <c r="N11" i="7"/>
  <c r="N30" i="9" s="1"/>
  <c r="BI12" i="7"/>
  <c r="BI32" i="9" s="1"/>
  <c r="BN12" i="7"/>
  <c r="BN32" i="9" s="1"/>
  <c r="P11" i="7"/>
  <c r="P30" i="9" s="1"/>
  <c r="AT11" i="7"/>
  <c r="AT30" i="9" s="1"/>
  <c r="AO11" i="7"/>
  <c r="AO30" i="9" s="1"/>
  <c r="AN11" i="7"/>
  <c r="AN30" i="9" s="1"/>
  <c r="AD11" i="7"/>
  <c r="AD30" i="9" s="1"/>
  <c r="Q11" i="7"/>
  <c r="Q30" i="9" s="1"/>
  <c r="AM11" i="7"/>
  <c r="AM30" i="9" s="1"/>
  <c r="O11" i="7"/>
  <c r="O30" i="9" s="1"/>
  <c r="AX12" i="7"/>
  <c r="AX32" i="9" s="1"/>
  <c r="AZ12" i="7"/>
  <c r="AZ32" i="9" s="1"/>
  <c r="AG11" i="7"/>
  <c r="AG30" i="9" s="1"/>
  <c r="F15" i="5"/>
  <c r="AU16" i="10"/>
  <c r="AE11" i="7"/>
  <c r="AE30" i="9" s="1"/>
  <c r="AY12" i="7"/>
  <c r="AY32" i="9" s="1"/>
  <c r="Z11" i="7"/>
  <c r="Z30" i="9" s="1"/>
  <c r="AF11" i="7"/>
  <c r="AF30" i="9" s="1"/>
  <c r="BA12" i="7"/>
  <c r="BA32" i="9" s="1"/>
  <c r="BE12" i="7"/>
  <c r="BE32" i="9" s="1"/>
  <c r="BF12" i="7"/>
  <c r="BF32" i="9" s="1"/>
  <c r="AW12" i="7"/>
  <c r="AW32" i="9" s="1"/>
  <c r="X11" i="7"/>
  <c r="X30" i="9" s="1"/>
  <c r="Y11" i="7"/>
  <c r="Y30" i="9" s="1"/>
  <c r="BD12" i="7"/>
  <c r="BD32" i="9" s="1"/>
  <c r="BC12" i="7"/>
  <c r="BC32" i="9" s="1"/>
  <c r="AV12" i="7"/>
  <c r="AV32" i="9" s="1"/>
  <c r="K7" i="7"/>
  <c r="K12" i="9" s="1"/>
  <c r="P28" i="6"/>
  <c r="Q28" i="6" s="1"/>
  <c r="L29" i="5"/>
  <c r="AL11" i="7"/>
  <c r="AL30" i="9" s="1"/>
  <c r="AX11" i="7"/>
  <c r="AX30" i="9" s="1"/>
  <c r="BK11" i="7"/>
  <c r="BK30" i="9" s="1"/>
  <c r="BE11" i="7"/>
  <c r="BE30" i="9" s="1"/>
  <c r="AW11" i="7"/>
  <c r="AW30" i="9" s="1"/>
  <c r="BC11" i="7"/>
  <c r="BC30" i="9" s="1"/>
  <c r="BB11" i="7"/>
  <c r="BB30" i="9" s="1"/>
  <c r="AU11" i="7"/>
  <c r="AU30" i="9" s="1"/>
  <c r="AV11" i="7"/>
  <c r="AV30" i="9" s="1"/>
  <c r="AN12" i="7"/>
  <c r="AN32" i="9" s="1"/>
  <c r="AJ12" i="7"/>
  <c r="AJ32" i="9" s="1"/>
  <c r="AI12" i="7"/>
  <c r="AI32" i="9" s="1"/>
  <c r="AT12" i="7"/>
  <c r="AT32" i="9" s="1"/>
  <c r="AL12" i="7"/>
  <c r="AL32" i="9" s="1"/>
  <c r="AO12" i="7"/>
  <c r="AO32" i="9" s="1"/>
  <c r="AS12" i="7"/>
  <c r="AS32" i="9" s="1"/>
  <c r="AS16" i="10"/>
  <c r="AK12" i="7"/>
  <c r="AK32" i="9" s="1"/>
  <c r="AR12" i="7"/>
  <c r="AR32" i="9" s="1"/>
  <c r="AM12" i="7"/>
  <c r="AM32" i="9" s="1"/>
  <c r="AP12" i="7"/>
  <c r="AP32" i="9" s="1"/>
  <c r="R22" i="5"/>
  <c r="AC23" i="5"/>
  <c r="S12" i="8"/>
  <c r="E12" i="8" s="1"/>
  <c r="E6" i="8"/>
  <c r="R19" i="9"/>
  <c r="W21" i="5"/>
  <c r="H15" i="5"/>
  <c r="AO21" i="5"/>
  <c r="X21" i="5"/>
  <c r="L12" i="7"/>
  <c r="L32" i="9" s="1"/>
  <c r="S21" i="10"/>
  <c r="T18" i="10"/>
  <c r="S22" i="10"/>
  <c r="P12" i="7"/>
  <c r="P32" i="9" s="1"/>
  <c r="T12" i="7"/>
  <c r="T32" i="9" s="1"/>
  <c r="U12" i="7"/>
  <c r="U32" i="9" s="1"/>
  <c r="R12" i="7"/>
  <c r="R32" i="9" s="1"/>
  <c r="E15" i="5"/>
  <c r="BL11" i="7"/>
  <c r="BL30" i="9" s="1"/>
  <c r="BM11" i="7"/>
  <c r="BM30" i="9" s="1"/>
  <c r="AT16" i="6"/>
  <c r="M12" i="7"/>
  <c r="M32" i="9" s="1"/>
  <c r="Q12" i="7"/>
  <c r="Q32" i="9" s="1"/>
  <c r="K12" i="7"/>
  <c r="K32" i="9" s="1"/>
  <c r="F16" i="5"/>
  <c r="S26" i="10"/>
  <c r="V12" i="7"/>
  <c r="V32" i="9" s="1"/>
  <c r="BR11" i="7"/>
  <c r="BR30" i="9" s="1"/>
  <c r="L27" i="6"/>
  <c r="S25" i="10"/>
  <c r="BJ11" i="7"/>
  <c r="BJ30" i="9" s="1"/>
  <c r="BO27" i="8" a="1"/>
  <c r="BO27" i="8" s="1"/>
  <c r="BG27" i="8" a="1"/>
  <c r="BG27" i="8" s="1"/>
  <c r="AY27" i="8" a="1"/>
  <c r="AY27" i="8" s="1"/>
  <c r="AQ27" i="8" a="1"/>
  <c r="AQ27" i="8" s="1"/>
  <c r="AI27" i="8" a="1"/>
  <c r="AI27" i="8" s="1"/>
  <c r="AA27" i="8" a="1"/>
  <c r="AA27" i="8" s="1"/>
  <c r="S27" i="8" a="1"/>
  <c r="S27" i="8" s="1"/>
  <c r="K27" i="8" a="1"/>
  <c r="K27" i="8" s="1"/>
  <c r="BM26" i="8" a="1"/>
  <c r="BM26" i="8" s="1"/>
  <c r="BE26" i="8" a="1"/>
  <c r="BE26" i="8" s="1"/>
  <c r="AW26" i="8" a="1"/>
  <c r="AW26" i="8" s="1"/>
  <c r="AO26" i="8" a="1"/>
  <c r="AO26" i="8" s="1"/>
  <c r="AG26" i="8" a="1"/>
  <c r="AG26" i="8" s="1"/>
  <c r="Y26" i="8" a="1"/>
  <c r="Y26" i="8" s="1"/>
  <c r="R26" i="8" a="1"/>
  <c r="R26" i="8" s="1"/>
  <c r="BR25" i="8" a="1"/>
  <c r="BR25" i="8" s="1"/>
  <c r="I25" i="8" s="1"/>
  <c r="BJ25" i="8" a="1"/>
  <c r="BJ25" i="8" s="1"/>
  <c r="BB25" i="8" a="1"/>
  <c r="BB25" i="8" s="1"/>
  <c r="AU25" i="8" a="1"/>
  <c r="AU25" i="8" s="1"/>
  <c r="AM25" i="8" a="1"/>
  <c r="AM25" i="8" s="1"/>
  <c r="AE25" i="8" a="1"/>
  <c r="AE25" i="8" s="1"/>
  <c r="W25" i="8" a="1"/>
  <c r="W25" i="8" s="1"/>
  <c r="O25" i="8" a="1"/>
  <c r="O25" i="8" s="1"/>
  <c r="BO24" i="8" a="1"/>
  <c r="BO24" i="8" s="1"/>
  <c r="BG24" i="8" a="1"/>
  <c r="BG24" i="8" s="1"/>
  <c r="AY24" i="8" a="1"/>
  <c r="AY24" i="8" s="1"/>
  <c r="AR24" i="8" a="1"/>
  <c r="AR24" i="8" s="1"/>
  <c r="AJ24" i="8" a="1"/>
  <c r="AJ24" i="8" s="1"/>
  <c r="BN27" i="8" a="1"/>
  <c r="BN27" i="8" s="1"/>
  <c r="BF27" i="8" a="1"/>
  <c r="BF27" i="8" s="1"/>
  <c r="H27" i="8" s="1"/>
  <c r="AX27" i="8" a="1"/>
  <c r="AX27" i="8" s="1"/>
  <c r="AP27" i="8" a="1"/>
  <c r="AP27" i="8" s="1"/>
  <c r="AH27" i="8" a="1"/>
  <c r="AH27" i="8" s="1"/>
  <c r="F27" i="8" s="1"/>
  <c r="Z27" i="8" a="1"/>
  <c r="Z27" i="8" s="1"/>
  <c r="R27" i="8" a="1"/>
  <c r="R27" i="8" s="1"/>
  <c r="BL26" i="8" a="1"/>
  <c r="BL26" i="8" s="1"/>
  <c r="BD26" i="8" a="1"/>
  <c r="BD26" i="8" s="1"/>
  <c r="AV26" i="8" a="1"/>
  <c r="AV26" i="8" s="1"/>
  <c r="AN26" i="8" a="1"/>
  <c r="AN26" i="8" s="1"/>
  <c r="AF26" i="8" a="1"/>
  <c r="AF26" i="8" s="1"/>
  <c r="X26" i="8" a="1"/>
  <c r="X26" i="8" s="1"/>
  <c r="Q26" i="8" a="1"/>
  <c r="Q26" i="8" s="1"/>
  <c r="BQ25" i="8" a="1"/>
  <c r="BQ25" i="8" s="1"/>
  <c r="BI25" i="8" a="1"/>
  <c r="BI25" i="8" s="1"/>
  <c r="BA25" i="8" a="1"/>
  <c r="BA25" i="8" s="1"/>
  <c r="AT25" i="8" a="1"/>
  <c r="AT25" i="8" s="1"/>
  <c r="G25" i="8" s="1"/>
  <c r="AL25" i="8" a="1"/>
  <c r="AL25" i="8" s="1"/>
  <c r="AD25" i="8" a="1"/>
  <c r="AD25" i="8" s="1"/>
  <c r="V25" i="8" a="1"/>
  <c r="V25" i="8" s="1"/>
  <c r="E25" i="8" s="1"/>
  <c r="N25" i="8" a="1"/>
  <c r="N25" i="8" s="1"/>
  <c r="BN24" i="8" a="1"/>
  <c r="BN24" i="8" s="1"/>
  <c r="BF24" i="8" a="1"/>
  <c r="BF24" i="8" s="1"/>
  <c r="H24" i="8" s="1"/>
  <c r="AX24" i="8" a="1"/>
  <c r="AX24" i="8" s="1"/>
  <c r="AQ24" i="8" a="1"/>
  <c r="AQ24" i="8" s="1"/>
  <c r="BM27" i="8" a="1"/>
  <c r="BM27" i="8" s="1"/>
  <c r="BE27" i="8" a="1"/>
  <c r="BE27" i="8" s="1"/>
  <c r="AW27" i="8" a="1"/>
  <c r="AW27" i="8" s="1"/>
  <c r="AO27" i="8" a="1"/>
  <c r="AO27" i="8" s="1"/>
  <c r="AG27" i="8" a="1"/>
  <c r="AG27" i="8" s="1"/>
  <c r="Y27" i="8" a="1"/>
  <c r="Y27" i="8" s="1"/>
  <c r="Q27" i="8" a="1"/>
  <c r="Q27" i="8" s="1"/>
  <c r="BK26" i="8" a="1"/>
  <c r="BK26" i="8" s="1"/>
  <c r="BC26" i="8" a="1"/>
  <c r="BC26" i="8" s="1"/>
  <c r="AU26" i="8" a="1"/>
  <c r="AU26" i="8" s="1"/>
  <c r="AM26" i="8" a="1"/>
  <c r="AM26" i="8" s="1"/>
  <c r="AE26" i="8" a="1"/>
  <c r="AE26" i="8" s="1"/>
  <c r="P26" i="8" a="1"/>
  <c r="P26" i="8" s="1"/>
  <c r="BP25" i="8" a="1"/>
  <c r="BP25" i="8" s="1"/>
  <c r="BH25" i="8" a="1"/>
  <c r="BH25" i="8" s="1"/>
  <c r="AZ25" i="8" a="1"/>
  <c r="AZ25" i="8" s="1"/>
  <c r="AS25" i="8" a="1"/>
  <c r="AS25" i="8" s="1"/>
  <c r="AK25" i="8" a="1"/>
  <c r="AK25" i="8" s="1"/>
  <c r="AC25" i="8" a="1"/>
  <c r="AC25" i="8" s="1"/>
  <c r="U25" i="8" a="1"/>
  <c r="U25" i="8" s="1"/>
  <c r="BL27" i="8" a="1"/>
  <c r="BL27" i="8" s="1"/>
  <c r="BD27" i="8" a="1"/>
  <c r="BD27" i="8" s="1"/>
  <c r="AV27" i="8" a="1"/>
  <c r="AV27" i="8" s="1"/>
  <c r="AN27" i="8" a="1"/>
  <c r="AN27" i="8" s="1"/>
  <c r="AF27" i="8" a="1"/>
  <c r="AF27" i="8" s="1"/>
  <c r="X27" i="8" a="1"/>
  <c r="X27" i="8" s="1"/>
  <c r="P27" i="8" a="1"/>
  <c r="P27" i="8" s="1"/>
  <c r="BR26" i="8" a="1"/>
  <c r="BR26" i="8" s="1"/>
  <c r="BJ26" i="8" a="1"/>
  <c r="BJ26" i="8" s="1"/>
  <c r="BB26" i="8" a="1"/>
  <c r="BB26" i="8" s="1"/>
  <c r="AT26" i="8" a="1"/>
  <c r="AT26" i="8" s="1"/>
  <c r="AL26" i="8" a="1"/>
  <c r="AL26" i="8" s="1"/>
  <c r="AD26" i="8" a="1"/>
  <c r="AD26" i="8" s="1"/>
  <c r="W26" i="8" a="1"/>
  <c r="W26" i="8" s="1"/>
  <c r="O26" i="8" a="1"/>
  <c r="O26" i="8" s="1"/>
  <c r="BO25" i="8" a="1"/>
  <c r="BO25" i="8" s="1"/>
  <c r="BG25" i="8" a="1"/>
  <c r="BG25" i="8" s="1"/>
  <c r="AR25" i="8" a="1"/>
  <c r="AR25" i="8" s="1"/>
  <c r="AJ25" i="8" a="1"/>
  <c r="AJ25" i="8" s="1"/>
  <c r="AB25" i="8" a="1"/>
  <c r="AB25" i="8" s="1"/>
  <c r="T25" i="8" a="1"/>
  <c r="T25" i="8" s="1"/>
  <c r="L25" i="8" a="1"/>
  <c r="L25" i="8" s="1"/>
  <c r="BL24" i="8" a="1"/>
  <c r="BL24" i="8" s="1"/>
  <c r="BD24" i="8" a="1"/>
  <c r="BD24" i="8" s="1"/>
  <c r="AO24" i="8" a="1"/>
  <c r="AO24" i="8" s="1"/>
  <c r="AG24" i="8" a="1"/>
  <c r="AG24" i="8" s="1"/>
  <c r="R24" i="8" a="1"/>
  <c r="R24" i="8" s="1"/>
  <c r="K24" i="8" a="1"/>
  <c r="K24" i="8" s="1"/>
  <c r="BK23" i="8" a="1"/>
  <c r="BK23" i="8" s="1"/>
  <c r="BC23" i="8" a="1"/>
  <c r="BC23" i="8" s="1"/>
  <c r="AU23" i="8" a="1"/>
  <c r="AU23" i="8" s="1"/>
  <c r="BR27" i="8" a="1"/>
  <c r="BR27" i="8" s="1"/>
  <c r="I27" i="8" s="1"/>
  <c r="BJ27" i="8" a="1"/>
  <c r="BJ27" i="8" s="1"/>
  <c r="BB27" i="8" a="1"/>
  <c r="BB27" i="8" s="1"/>
  <c r="AT27" i="8" a="1"/>
  <c r="AT27" i="8" s="1"/>
  <c r="G27" i="8" s="1"/>
  <c r="AL27" i="8" a="1"/>
  <c r="AL27" i="8" s="1"/>
  <c r="AD27" i="8" a="1"/>
  <c r="AD27" i="8" s="1"/>
  <c r="V27" i="8" a="1"/>
  <c r="V27" i="8" s="1"/>
  <c r="E27" i="8" s="1"/>
  <c r="N27" i="8" a="1"/>
  <c r="N27" i="8" s="1"/>
  <c r="BP26" i="8" a="1"/>
  <c r="BP26" i="8" s="1"/>
  <c r="BH26" i="8" a="1"/>
  <c r="BH26" i="8" s="1"/>
  <c r="AZ26" i="8" a="1"/>
  <c r="AZ26" i="8" s="1"/>
  <c r="AR26" i="8" a="1"/>
  <c r="AR26" i="8" s="1"/>
  <c r="AJ26" i="8" a="1"/>
  <c r="AJ26" i="8" s="1"/>
  <c r="AB26" i="8" a="1"/>
  <c r="AB26" i="8" s="1"/>
  <c r="U26" i="8" a="1"/>
  <c r="U26" i="8" s="1"/>
  <c r="M26" i="8" a="1"/>
  <c r="M26" i="8" s="1"/>
  <c r="BM25" i="8" a="1"/>
  <c r="BM25" i="8" s="1"/>
  <c r="BE25" i="8" a="1"/>
  <c r="BE25" i="8" s="1"/>
  <c r="AX25" i="8" a="1"/>
  <c r="AX25" i="8" s="1"/>
  <c r="AP25" i="8" a="1"/>
  <c r="AP25" i="8" s="1"/>
  <c r="AH25" i="8" a="1"/>
  <c r="AH25" i="8" s="1"/>
  <c r="F25" i="8" s="1"/>
  <c r="Z25" i="8" a="1"/>
  <c r="Z25" i="8" s="1"/>
  <c r="R25" i="8" a="1"/>
  <c r="R25" i="8" s="1"/>
  <c r="BR24" i="8" a="1"/>
  <c r="BR24" i="8" s="1"/>
  <c r="I24" i="8" s="1"/>
  <c r="BJ24" i="8" a="1"/>
  <c r="BJ24" i="8" s="1"/>
  <c r="BB24" i="8" a="1"/>
  <c r="BB24" i="8" s="1"/>
  <c r="AU24" i="8" a="1"/>
  <c r="AU24" i="8" s="1"/>
  <c r="AM24" i="8" a="1"/>
  <c r="AM24" i="8" s="1"/>
  <c r="AE24" i="8" a="1"/>
  <c r="AE24" i="8" s="1"/>
  <c r="X24" i="8" a="1"/>
  <c r="X24" i="8" s="1"/>
  <c r="P24" i="8" a="1"/>
  <c r="P24" i="8" s="1"/>
  <c r="BQ27" i="8" a="1"/>
  <c r="BQ27" i="8" s="1"/>
  <c r="BI27" i="8" a="1"/>
  <c r="BI27" i="8" s="1"/>
  <c r="BA27" i="8" a="1"/>
  <c r="BA27" i="8" s="1"/>
  <c r="AS27" i="8" a="1"/>
  <c r="AS27" i="8" s="1"/>
  <c r="AK27" i="8" a="1"/>
  <c r="AK27" i="8" s="1"/>
  <c r="AC27" i="8" a="1"/>
  <c r="AC27" i="8" s="1"/>
  <c r="U27" i="8" a="1"/>
  <c r="U27" i="8" s="1"/>
  <c r="M27" i="8" a="1"/>
  <c r="M27" i="8" s="1"/>
  <c r="BO26" i="8" a="1"/>
  <c r="BO26" i="8" s="1"/>
  <c r="BG26" i="8" a="1"/>
  <c r="BG26" i="8" s="1"/>
  <c r="AY26" i="8" a="1"/>
  <c r="AY26" i="8" s="1"/>
  <c r="AQ26" i="8" a="1"/>
  <c r="AQ26" i="8" s="1"/>
  <c r="AI26" i="8" a="1"/>
  <c r="AI26" i="8" s="1"/>
  <c r="AA26" i="8" a="1"/>
  <c r="AA26" i="8" s="1"/>
  <c r="T26" i="8" a="1"/>
  <c r="T26" i="8" s="1"/>
  <c r="L26" i="8" a="1"/>
  <c r="L26" i="8" s="1"/>
  <c r="BL25" i="8" a="1"/>
  <c r="BL25" i="8" s="1"/>
  <c r="BD25" i="8" a="1"/>
  <c r="BD25" i="8" s="1"/>
  <c r="AW25" i="8" a="1"/>
  <c r="AW25" i="8" s="1"/>
  <c r="AO25" i="8" a="1"/>
  <c r="AO25" i="8" s="1"/>
  <c r="AG25" i="8" a="1"/>
  <c r="AG25" i="8" s="1"/>
  <c r="Y25" i="8" a="1"/>
  <c r="Y25" i="8" s="1"/>
  <c r="Q25" i="8" a="1"/>
  <c r="Q25" i="8" s="1"/>
  <c r="BQ24" i="8" a="1"/>
  <c r="BQ24" i="8" s="1"/>
  <c r="BI24" i="8" a="1"/>
  <c r="BI24" i="8" s="1"/>
  <c r="BA24" i="8" a="1"/>
  <c r="BA24" i="8" s="1"/>
  <c r="AT24" i="8" a="1"/>
  <c r="AT24" i="8" s="1"/>
  <c r="G24" i="8" s="1"/>
  <c r="AL24" i="8" a="1"/>
  <c r="AL24" i="8" s="1"/>
  <c r="AD24" i="8" a="1"/>
  <c r="AD24" i="8" s="1"/>
  <c r="W24" i="8" a="1"/>
  <c r="W24" i="8" s="1"/>
  <c r="BP27" i="8" a="1"/>
  <c r="BP27" i="8" s="1"/>
  <c r="BH27" i="8" a="1"/>
  <c r="BH27" i="8" s="1"/>
  <c r="AZ27" i="8" a="1"/>
  <c r="AZ27" i="8" s="1"/>
  <c r="AR27" i="8" a="1"/>
  <c r="AR27" i="8" s="1"/>
  <c r="AJ27" i="8" a="1"/>
  <c r="AJ27" i="8" s="1"/>
  <c r="AB27" i="8" a="1"/>
  <c r="AB27" i="8" s="1"/>
  <c r="T27" i="8" a="1"/>
  <c r="T27" i="8" s="1"/>
  <c r="L27" i="8" a="1"/>
  <c r="L27" i="8" s="1"/>
  <c r="BN26" i="8" a="1"/>
  <c r="BN26" i="8" s="1"/>
  <c r="BF26" i="8" a="1"/>
  <c r="BF26" i="8" s="1"/>
  <c r="AX26" i="8" a="1"/>
  <c r="AX26" i="8" s="1"/>
  <c r="AP26" i="8" a="1"/>
  <c r="AP26" i="8" s="1"/>
  <c r="AH26" i="8" a="1"/>
  <c r="AH26" i="8" s="1"/>
  <c r="Z26" i="8" a="1"/>
  <c r="Z26" i="8" s="1"/>
  <c r="S26" i="8" a="1"/>
  <c r="S26" i="8" s="1"/>
  <c r="K26" i="8" a="1"/>
  <c r="K26" i="8" s="1"/>
  <c r="BK25" i="8" a="1"/>
  <c r="BK25" i="8" s="1"/>
  <c r="BC25" i="8" a="1"/>
  <c r="BC25" i="8" s="1"/>
  <c r="AV25" i="8" a="1"/>
  <c r="AV25" i="8" s="1"/>
  <c r="AN25" i="8" a="1"/>
  <c r="AN25" i="8" s="1"/>
  <c r="AF25" i="8" a="1"/>
  <c r="AF25" i="8" s="1"/>
  <c r="X25" i="8" a="1"/>
  <c r="X25" i="8" s="1"/>
  <c r="P25" i="8" a="1"/>
  <c r="P25" i="8" s="1"/>
  <c r="BP24" i="8" a="1"/>
  <c r="BP24" i="8" s="1"/>
  <c r="BH24" i="8" a="1"/>
  <c r="BH24" i="8" s="1"/>
  <c r="AZ24" i="8" a="1"/>
  <c r="AZ24" i="8" s="1"/>
  <c r="AS24" i="8" a="1"/>
  <c r="AS24" i="8" s="1"/>
  <c r="AK24" i="8" a="1"/>
  <c r="AK24" i="8" s="1"/>
  <c r="AC24" i="8" a="1"/>
  <c r="AC24" i="8" s="1"/>
  <c r="V24" i="8" a="1"/>
  <c r="V24" i="8" s="1"/>
  <c r="E24" i="8" s="1"/>
  <c r="O24" i="8" a="1"/>
  <c r="O24" i="8" s="1"/>
  <c r="BO23" i="8" a="1"/>
  <c r="BO23" i="8" s="1"/>
  <c r="BG23" i="8" a="1"/>
  <c r="BG23" i="8" s="1"/>
  <c r="AY23" i="8" a="1"/>
  <c r="AY23" i="8" s="1"/>
  <c r="AQ23" i="8" a="1"/>
  <c r="AQ23" i="8" s="1"/>
  <c r="AI23" i="8" a="1"/>
  <c r="AI23" i="8" s="1"/>
  <c r="AA23" i="8" a="1"/>
  <c r="AA23" i="8" s="1"/>
  <c r="AE27" i="8" a="1"/>
  <c r="AE27" i="8" s="1"/>
  <c r="AC26" i="8" a="1"/>
  <c r="AC26" i="8" s="1"/>
  <c r="AA25" i="8" a="1"/>
  <c r="AA25" i="8" s="1"/>
  <c r="AW24" i="8" a="1"/>
  <c r="AW24" i="8" s="1"/>
  <c r="AA24" i="8" a="1"/>
  <c r="AA24" i="8" s="1"/>
  <c r="N24" i="8" a="1"/>
  <c r="N24" i="8" s="1"/>
  <c r="BL23" i="8" a="1"/>
  <c r="BL23" i="8" s="1"/>
  <c r="BA23" i="8" a="1"/>
  <c r="BA23" i="8" s="1"/>
  <c r="AP23" i="8" a="1"/>
  <c r="AP23" i="8" s="1"/>
  <c r="AG23" i="8" a="1"/>
  <c r="AG23" i="8" s="1"/>
  <c r="X23" i="8" a="1"/>
  <c r="X23" i="8" s="1"/>
  <c r="P23" i="8" a="1"/>
  <c r="P23" i="8" s="1"/>
  <c r="BP22" i="8" a="1"/>
  <c r="BP22" i="8" s="1"/>
  <c r="BH22" i="8" a="1"/>
  <c r="BH22" i="8" s="1"/>
  <c r="BA22" i="8" a="1"/>
  <c r="BA22" i="8" s="1"/>
  <c r="AS22" i="8" a="1"/>
  <c r="AS22" i="8" s="1"/>
  <c r="AK22" i="8" a="1"/>
  <c r="AK22" i="8" s="1"/>
  <c r="AC22" i="8" a="1"/>
  <c r="AC22" i="8" s="1"/>
  <c r="V22" i="8" a="1"/>
  <c r="V22" i="8" s="1"/>
  <c r="BP19" i="8" a="1"/>
  <c r="BP19" i="8" s="1"/>
  <c r="BP20" i="7" s="1"/>
  <c r="BH19" i="8" a="1"/>
  <c r="BH19" i="8" s="1"/>
  <c r="BH20" i="7" s="1"/>
  <c r="AZ19" i="8" a="1"/>
  <c r="AZ19" i="8" s="1"/>
  <c r="AZ20" i="7" s="1"/>
  <c r="AR19" i="8" a="1"/>
  <c r="AR19" i="8" s="1"/>
  <c r="AR20" i="7" s="1"/>
  <c r="AJ19" i="8" a="1"/>
  <c r="AJ19" i="8" s="1"/>
  <c r="AJ20" i="7" s="1"/>
  <c r="AB19" i="8" a="1"/>
  <c r="AB19" i="8" s="1"/>
  <c r="AB20" i="7" s="1"/>
  <c r="T19" i="8" a="1"/>
  <c r="T19" i="8" s="1"/>
  <c r="T20" i="7" s="1"/>
  <c r="L19" i="8" a="1"/>
  <c r="L19" i="8" s="1"/>
  <c r="L20" i="7" s="1"/>
  <c r="BL18" i="8" a="1"/>
  <c r="BL18" i="8" s="1"/>
  <c r="BD18" i="8" a="1"/>
  <c r="BD18" i="8" s="1"/>
  <c r="AV18" i="8" a="1"/>
  <c r="AV18" i="8" s="1"/>
  <c r="AN18" i="8" a="1"/>
  <c r="AN18" i="8" s="1"/>
  <c r="AF18" i="8" a="1"/>
  <c r="AF18" i="8" s="1"/>
  <c r="X18" i="8" a="1"/>
  <c r="X18" i="8" s="1"/>
  <c r="P18" i="8" a="1"/>
  <c r="P18" i="8" s="1"/>
  <c r="BQ17" i="8" a="1"/>
  <c r="BQ17" i="8" s="1"/>
  <c r="BQ19" i="7" s="1"/>
  <c r="BI17" i="8" a="1"/>
  <c r="BI17" i="8" s="1"/>
  <c r="BI19" i="7" s="1"/>
  <c r="BA17" i="8" a="1"/>
  <c r="BA17" i="8" s="1"/>
  <c r="BA19" i="7" s="1"/>
  <c r="AS17" i="8" a="1"/>
  <c r="AS17" i="8" s="1"/>
  <c r="AS19" i="7" s="1"/>
  <c r="AL17" i="8" a="1"/>
  <c r="AL17" i="8" s="1"/>
  <c r="AL19" i="7" s="1"/>
  <c r="AD17" i="8" a="1"/>
  <c r="AD17" i="8" s="1"/>
  <c r="AD19" i="7" s="1"/>
  <c r="V17" i="8" a="1"/>
  <c r="V17" i="8" s="1"/>
  <c r="V19" i="7" s="1"/>
  <c r="N17" i="8" a="1"/>
  <c r="N17" i="8" s="1"/>
  <c r="N19" i="7" s="1"/>
  <c r="BN16" i="8" a="1"/>
  <c r="BN16" i="8" s="1"/>
  <c r="BN18" i="7" s="1"/>
  <c r="BF16" i="8" a="1"/>
  <c r="BF16" i="8" s="1"/>
  <c r="BF18" i="7" s="1"/>
  <c r="AY16" i="8" a="1"/>
  <c r="AY16" i="8" s="1"/>
  <c r="AY18" i="7" s="1"/>
  <c r="AQ16" i="8" a="1"/>
  <c r="AQ16" i="8" s="1"/>
  <c r="AQ18" i="7" s="1"/>
  <c r="AI16" i="8" a="1"/>
  <c r="AI16" i="8" s="1"/>
  <c r="U16" i="8" a="1"/>
  <c r="U16" i="8" s="1"/>
  <c r="U18" i="7" s="1"/>
  <c r="M16" i="8" a="1"/>
  <c r="M16" i="8" s="1"/>
  <c r="M18" i="7" s="1"/>
  <c r="BM15" i="8" a="1"/>
  <c r="BM15" i="8" s="1"/>
  <c r="BM17" i="7" s="1"/>
  <c r="BE15" i="8" a="1"/>
  <c r="BE15" i="8" s="1"/>
  <c r="BE17" i="7" s="1"/>
  <c r="AW15" i="8" a="1"/>
  <c r="AW15" i="8" s="1"/>
  <c r="AW17" i="7" s="1"/>
  <c r="AP15" i="8" a="1"/>
  <c r="AP15" i="8" s="1"/>
  <c r="AP17" i="7" s="1"/>
  <c r="AH15" i="8" a="1"/>
  <c r="AH15" i="8" s="1"/>
  <c r="AH17" i="7" s="1"/>
  <c r="Z15" i="8" a="1"/>
  <c r="Z15" i="8" s="1"/>
  <c r="Z17" i="7" s="1"/>
  <c r="R15" i="8" a="1"/>
  <c r="R15" i="8" s="1"/>
  <c r="R17" i="7" s="1"/>
  <c r="K15" i="8" a="1"/>
  <c r="K15" i="8" s="1"/>
  <c r="BL14" i="8" a="1"/>
  <c r="BL14" i="8" s="1"/>
  <c r="BD14" i="8" a="1"/>
  <c r="BD14" i="8" s="1"/>
  <c r="AV14" i="8" a="1"/>
  <c r="AV14" i="8" s="1"/>
  <c r="AN14" i="8" a="1"/>
  <c r="AN14" i="8" s="1"/>
  <c r="AF14" i="8" a="1"/>
  <c r="AF14" i="8" s="1"/>
  <c r="X14" i="8" a="1"/>
  <c r="X14" i="8" s="1"/>
  <c r="P14" i="8" a="1"/>
  <c r="P14" i="8" s="1"/>
  <c r="W27" i="8" a="1"/>
  <c r="W27" i="8" s="1"/>
  <c r="V26" i="8" a="1"/>
  <c r="V26" i="8" s="1"/>
  <c r="S25" i="8" a="1"/>
  <c r="S25" i="8" s="1"/>
  <c r="AV24" i="8" a="1"/>
  <c r="AV24" i="8" s="1"/>
  <c r="Z24" i="8" a="1"/>
  <c r="Z24" i="8" s="1"/>
  <c r="M24" i="8" a="1"/>
  <c r="M24" i="8" s="1"/>
  <c r="BJ23" i="8" a="1"/>
  <c r="BJ23" i="8" s="1"/>
  <c r="AZ23" i="8" a="1"/>
  <c r="AZ23" i="8" s="1"/>
  <c r="AO23" i="8" a="1"/>
  <c r="AO23" i="8" s="1"/>
  <c r="AF23" i="8" a="1"/>
  <c r="AF23" i="8" s="1"/>
  <c r="W23" i="8" a="1"/>
  <c r="W23" i="8" s="1"/>
  <c r="O23" i="8" a="1"/>
  <c r="O23" i="8" s="1"/>
  <c r="BO22" i="8" a="1"/>
  <c r="BO22" i="8" s="1"/>
  <c r="BG22" i="8" a="1"/>
  <c r="BG22" i="8" s="1"/>
  <c r="AZ22" i="8" a="1"/>
  <c r="AZ22" i="8" s="1"/>
  <c r="AR22" i="8" a="1"/>
  <c r="AR22" i="8" s="1"/>
  <c r="AJ22" i="8" a="1"/>
  <c r="AJ22" i="8" s="1"/>
  <c r="AB22" i="8" a="1"/>
  <c r="AB22" i="8" s="1"/>
  <c r="U22" i="8" a="1"/>
  <c r="U22" i="8" s="1"/>
  <c r="N22" i="8" a="1"/>
  <c r="N22" i="8" s="1"/>
  <c r="BO19" i="8" a="1"/>
  <c r="BO19" i="8" s="1"/>
  <c r="BO20" i="7" s="1"/>
  <c r="BG19" i="8" a="1"/>
  <c r="BG19" i="8" s="1"/>
  <c r="AY19" i="8" a="1"/>
  <c r="AY19" i="8" s="1"/>
  <c r="AY20" i="7" s="1"/>
  <c r="AQ19" i="8" a="1"/>
  <c r="AQ19" i="8" s="1"/>
  <c r="AQ20" i="7" s="1"/>
  <c r="AI19" i="8" a="1"/>
  <c r="AI19" i="8" s="1"/>
  <c r="AA19" i="8" a="1"/>
  <c r="AA19" i="8" s="1"/>
  <c r="AA20" i="7" s="1"/>
  <c r="S19" i="8" a="1"/>
  <c r="S19" i="8" s="1"/>
  <c r="S20" i="7" s="1"/>
  <c r="K19" i="8" a="1"/>
  <c r="K19" i="8" s="1"/>
  <c r="BK18" i="8" a="1"/>
  <c r="BK18" i="8" s="1"/>
  <c r="BC18" i="8" a="1"/>
  <c r="BC18" i="8" s="1"/>
  <c r="AU18" i="8" a="1"/>
  <c r="AU18" i="8" s="1"/>
  <c r="AM18" i="8" a="1"/>
  <c r="AM18" i="8" s="1"/>
  <c r="AE18" i="8" a="1"/>
  <c r="AE18" i="8" s="1"/>
  <c r="W18" i="8" a="1"/>
  <c r="W18" i="8" s="1"/>
  <c r="O18" i="8" a="1"/>
  <c r="O18" i="8" s="1"/>
  <c r="BP17" i="8" a="1"/>
  <c r="BP17" i="8" s="1"/>
  <c r="BP19" i="7" s="1"/>
  <c r="BH17" i="8" a="1"/>
  <c r="BH17" i="8" s="1"/>
  <c r="BH19" i="7" s="1"/>
  <c r="AZ17" i="8" a="1"/>
  <c r="AZ17" i="8" s="1"/>
  <c r="AZ19" i="7" s="1"/>
  <c r="AR17" i="8" a="1"/>
  <c r="AR17" i="8" s="1"/>
  <c r="AR19" i="7" s="1"/>
  <c r="AK17" i="8" a="1"/>
  <c r="AK17" i="8" s="1"/>
  <c r="AK19" i="7" s="1"/>
  <c r="AC17" i="8" a="1"/>
  <c r="AC17" i="8" s="1"/>
  <c r="AC19" i="7" s="1"/>
  <c r="U17" i="8" a="1"/>
  <c r="U17" i="8" s="1"/>
  <c r="U19" i="7" s="1"/>
  <c r="M17" i="8" a="1"/>
  <c r="M17" i="8" s="1"/>
  <c r="M19" i="7" s="1"/>
  <c r="BM16" i="8" a="1"/>
  <c r="BM16" i="8" s="1"/>
  <c r="BM18" i="7" s="1"/>
  <c r="BE16" i="8" a="1"/>
  <c r="BE16" i="8" s="1"/>
  <c r="BE18" i="7" s="1"/>
  <c r="AX16" i="8" a="1"/>
  <c r="AX16" i="8" s="1"/>
  <c r="AX18" i="7" s="1"/>
  <c r="AP16" i="8" a="1"/>
  <c r="AP16" i="8" s="1"/>
  <c r="AP18" i="7" s="1"/>
  <c r="AH16" i="8" a="1"/>
  <c r="AH16" i="8" s="1"/>
  <c r="AH18" i="7" s="1"/>
  <c r="AB16" i="8" a="1"/>
  <c r="AB16" i="8" s="1"/>
  <c r="AB18" i="7" s="1"/>
  <c r="T16" i="8" a="1"/>
  <c r="T16" i="8" s="1"/>
  <c r="T18" i="7" s="1"/>
  <c r="L16" i="8" a="1"/>
  <c r="L16" i="8" s="1"/>
  <c r="L18" i="7" s="1"/>
  <c r="BL15" i="8" a="1"/>
  <c r="BL15" i="8" s="1"/>
  <c r="BL17" i="7" s="1"/>
  <c r="BD15" i="8" a="1"/>
  <c r="BD15" i="8" s="1"/>
  <c r="BD17" i="7" s="1"/>
  <c r="AV15" i="8" a="1"/>
  <c r="AV15" i="8" s="1"/>
  <c r="AV17" i="7" s="1"/>
  <c r="AO15" i="8" a="1"/>
  <c r="AO15" i="8" s="1"/>
  <c r="AO17" i="7" s="1"/>
  <c r="AG15" i="8" a="1"/>
  <c r="AG15" i="8" s="1"/>
  <c r="AG17" i="7" s="1"/>
  <c r="Y15" i="8" a="1"/>
  <c r="Y15" i="8" s="1"/>
  <c r="Y17" i="7" s="1"/>
  <c r="Q15" i="8" a="1"/>
  <c r="Q15" i="8" s="1"/>
  <c r="Q17" i="7" s="1"/>
  <c r="BR14" i="8" a="1"/>
  <c r="BR14" i="8" s="1"/>
  <c r="BK14" i="8" a="1"/>
  <c r="BK14" i="8" s="1"/>
  <c r="BC14" i="8" a="1"/>
  <c r="BC14" i="8" s="1"/>
  <c r="AU14" i="8" a="1"/>
  <c r="AU14" i="8" s="1"/>
  <c r="AM14" i="8" a="1"/>
  <c r="AM14" i="8" s="1"/>
  <c r="AE14" i="8" a="1"/>
  <c r="AE14" i="8" s="1"/>
  <c r="W14" i="8" a="1"/>
  <c r="W14" i="8" s="1"/>
  <c r="O14" i="8" a="1"/>
  <c r="O14" i="8" s="1"/>
  <c r="T14" i="8" a="1"/>
  <c r="T14" i="8" s="1"/>
  <c r="Q23" i="8" a="1"/>
  <c r="Q23" i="8" s="1"/>
  <c r="AD22" i="8" a="1"/>
  <c r="AD22" i="8" s="1"/>
  <c r="BA19" i="8" a="1"/>
  <c r="BA19" i="8" s="1"/>
  <c r="BA20" i="7" s="1"/>
  <c r="U19" i="8" a="1"/>
  <c r="U19" i="8" s="1"/>
  <c r="U20" i="7" s="1"/>
  <c r="AO18" i="8" a="1"/>
  <c r="AO18" i="8" s="1"/>
  <c r="BR17" i="8" a="1"/>
  <c r="BR17" i="8" s="1"/>
  <c r="BR19" i="7" s="1"/>
  <c r="W17" i="8" a="1"/>
  <c r="W17" i="8" s="1"/>
  <c r="AR16" i="8" a="1"/>
  <c r="AR16" i="8" s="1"/>
  <c r="AR18" i="7" s="1"/>
  <c r="N16" i="8" a="1"/>
  <c r="N16" i="8" s="1"/>
  <c r="N18" i="7" s="1"/>
  <c r="AQ15" i="8" a="1"/>
  <c r="AQ15" i="8" s="1"/>
  <c r="AQ17" i="7" s="1"/>
  <c r="L15" i="8" a="1"/>
  <c r="L15" i="8" s="1"/>
  <c r="L17" i="7" s="1"/>
  <c r="O27" i="8" a="1"/>
  <c r="O27" i="8" s="1"/>
  <c r="N26" i="8" a="1"/>
  <c r="N26" i="8" s="1"/>
  <c r="M25" i="8" a="1"/>
  <c r="M25" i="8" s="1"/>
  <c r="AP24" i="8" a="1"/>
  <c r="AP24" i="8" s="1"/>
  <c r="Y24" i="8" a="1"/>
  <c r="Y24" i="8" s="1"/>
  <c r="L24" i="8" a="1"/>
  <c r="L24" i="8" s="1"/>
  <c r="BI23" i="8" a="1"/>
  <c r="BI23" i="8" s="1"/>
  <c r="AX23" i="8" a="1"/>
  <c r="AX23" i="8" s="1"/>
  <c r="AN23" i="8" a="1"/>
  <c r="AN23" i="8" s="1"/>
  <c r="AE23" i="8" a="1"/>
  <c r="AE23" i="8" s="1"/>
  <c r="V23" i="8" a="1"/>
  <c r="V23" i="8" s="1"/>
  <c r="E23" i="8" s="1"/>
  <c r="N23" i="8" a="1"/>
  <c r="N23" i="8" s="1"/>
  <c r="BN22" i="8" a="1"/>
  <c r="BN22" i="8" s="1"/>
  <c r="AY22" i="8" a="1"/>
  <c r="AY22" i="8" s="1"/>
  <c r="AQ22" i="8" a="1"/>
  <c r="AQ22" i="8" s="1"/>
  <c r="AI22" i="8" a="1"/>
  <c r="AI22" i="8" s="1"/>
  <c r="AA22" i="8" a="1"/>
  <c r="AA22" i="8" s="1"/>
  <c r="T22" i="8" a="1"/>
  <c r="T22" i="8" s="1"/>
  <c r="M22" i="8" a="1"/>
  <c r="M22" i="8" s="1"/>
  <c r="BN19" i="8" a="1"/>
  <c r="BN19" i="8" s="1"/>
  <c r="BN20" i="7" s="1"/>
  <c r="BF19" i="8" a="1"/>
  <c r="BF19" i="8" s="1"/>
  <c r="BF20" i="7" s="1"/>
  <c r="AX19" i="8" a="1"/>
  <c r="AX19" i="8" s="1"/>
  <c r="AX20" i="7" s="1"/>
  <c r="AP19" i="8" a="1"/>
  <c r="AP19" i="8" s="1"/>
  <c r="AP20" i="7" s="1"/>
  <c r="AH19" i="8" a="1"/>
  <c r="AH19" i="8" s="1"/>
  <c r="AH20" i="7" s="1"/>
  <c r="Z19" i="8" a="1"/>
  <c r="Z19" i="8" s="1"/>
  <c r="Z20" i="7" s="1"/>
  <c r="R19" i="8" a="1"/>
  <c r="R19" i="8" s="1"/>
  <c r="R20" i="7" s="1"/>
  <c r="BR18" i="8" a="1"/>
  <c r="BR18" i="8" s="1"/>
  <c r="BJ18" i="8" a="1"/>
  <c r="BJ18" i="8" s="1"/>
  <c r="BB18" i="8" a="1"/>
  <c r="BB18" i="8" s="1"/>
  <c r="AT18" i="8" a="1"/>
  <c r="AT18" i="8" s="1"/>
  <c r="AL18" i="8" a="1"/>
  <c r="AL18" i="8" s="1"/>
  <c r="AD18" i="8" a="1"/>
  <c r="AD18" i="8" s="1"/>
  <c r="V18" i="8" a="1"/>
  <c r="V18" i="8" s="1"/>
  <c r="N18" i="8" a="1"/>
  <c r="N18" i="8" s="1"/>
  <c r="BO17" i="8" a="1"/>
  <c r="BO17" i="8" s="1"/>
  <c r="BO19" i="7" s="1"/>
  <c r="BG17" i="8" a="1"/>
  <c r="BG17" i="8" s="1"/>
  <c r="AY17" i="8" a="1"/>
  <c r="AY17" i="8" s="1"/>
  <c r="AY19" i="7" s="1"/>
  <c r="AQ17" i="8" a="1"/>
  <c r="AQ17" i="8" s="1"/>
  <c r="AQ19" i="7" s="1"/>
  <c r="AJ17" i="8" a="1"/>
  <c r="AJ17" i="8" s="1"/>
  <c r="AJ19" i="7" s="1"/>
  <c r="AB17" i="8" a="1"/>
  <c r="AB17" i="8" s="1"/>
  <c r="AB19" i="7" s="1"/>
  <c r="T17" i="8" a="1"/>
  <c r="T17" i="8" s="1"/>
  <c r="T19" i="7" s="1"/>
  <c r="L17" i="8" a="1"/>
  <c r="L17" i="8" s="1"/>
  <c r="L19" i="7" s="1"/>
  <c r="BL16" i="8" a="1"/>
  <c r="BL16" i="8" s="1"/>
  <c r="BL18" i="7" s="1"/>
  <c r="BD16" i="8" a="1"/>
  <c r="BD16" i="8" s="1"/>
  <c r="BD18" i="7" s="1"/>
  <c r="AW16" i="8" a="1"/>
  <c r="AW16" i="8" s="1"/>
  <c r="AW18" i="7" s="1"/>
  <c r="AO16" i="8" a="1"/>
  <c r="AO16" i="8" s="1"/>
  <c r="AO18" i="7" s="1"/>
  <c r="AG16" i="8" a="1"/>
  <c r="AG16" i="8" s="1"/>
  <c r="AG18" i="7" s="1"/>
  <c r="AA16" i="8" a="1"/>
  <c r="AA16" i="8" s="1"/>
  <c r="AA18" i="7" s="1"/>
  <c r="S16" i="8" a="1"/>
  <c r="S16" i="8" s="1"/>
  <c r="S18" i="7" s="1"/>
  <c r="K16" i="8" a="1"/>
  <c r="K16" i="8" s="1"/>
  <c r="BK15" i="8" a="1"/>
  <c r="BK15" i="8" s="1"/>
  <c r="BK17" i="7" s="1"/>
  <c r="BC15" i="8" a="1"/>
  <c r="BC15" i="8" s="1"/>
  <c r="BC17" i="7" s="1"/>
  <c r="AN15" i="8" a="1"/>
  <c r="AN15" i="8" s="1"/>
  <c r="AN17" i="7" s="1"/>
  <c r="AF15" i="8" a="1"/>
  <c r="AF15" i="8" s="1"/>
  <c r="AF17" i="7" s="1"/>
  <c r="X15" i="8" a="1"/>
  <c r="X15" i="8" s="1"/>
  <c r="X17" i="7" s="1"/>
  <c r="P15" i="8" a="1"/>
  <c r="P15" i="8" s="1"/>
  <c r="P17" i="7" s="1"/>
  <c r="BQ14" i="8" a="1"/>
  <c r="BQ14" i="8" s="1"/>
  <c r="BJ14" i="8" a="1"/>
  <c r="BJ14" i="8" s="1"/>
  <c r="BB14" i="8" a="1"/>
  <c r="BB14" i="8" s="1"/>
  <c r="AT14" i="8" a="1"/>
  <c r="AT14" i="8" s="1"/>
  <c r="AL14" i="8" a="1"/>
  <c r="AL14" i="8" s="1"/>
  <c r="AD14" i="8" a="1"/>
  <c r="AD14" i="8" s="1"/>
  <c r="V14" i="8" a="1"/>
  <c r="V14" i="8" s="1"/>
  <c r="N14" i="8" a="1"/>
  <c r="N14" i="8" s="1"/>
  <c r="L14" i="8" a="1"/>
  <c r="L14" i="8" s="1"/>
  <c r="BQ26" i="8" a="1"/>
  <c r="BQ26" i="8" s="1"/>
  <c r="BN25" i="8" a="1"/>
  <c r="BN25" i="8" s="1"/>
  <c r="K25" i="8" a="1"/>
  <c r="K25" i="8" s="1"/>
  <c r="AN24" i="8" a="1"/>
  <c r="AN24" i="8" s="1"/>
  <c r="U24" i="8" a="1"/>
  <c r="U24" i="8" s="1"/>
  <c r="BR23" i="8" a="1"/>
  <c r="BR23" i="8" s="1"/>
  <c r="I23" i="8" s="1"/>
  <c r="BH23" i="8" a="1"/>
  <c r="BH23" i="8" s="1"/>
  <c r="AW23" i="8" a="1"/>
  <c r="AW23" i="8" s="1"/>
  <c r="AM23" i="8" a="1"/>
  <c r="AM23" i="8" s="1"/>
  <c r="AD23" i="8" a="1"/>
  <c r="AD23" i="8" s="1"/>
  <c r="U23" i="8" a="1"/>
  <c r="U23" i="8" s="1"/>
  <c r="M23" i="8" a="1"/>
  <c r="M23" i="8" s="1"/>
  <c r="BM22" i="8" a="1"/>
  <c r="BM22" i="8" s="1"/>
  <c r="BF22" i="8" a="1"/>
  <c r="BF22" i="8" s="1"/>
  <c r="AX22" i="8" a="1"/>
  <c r="AX22" i="8" s="1"/>
  <c r="AP22" i="8" a="1"/>
  <c r="AP22" i="8" s="1"/>
  <c r="AH22" i="8" a="1"/>
  <c r="AH22" i="8" s="1"/>
  <c r="Z22" i="8" a="1"/>
  <c r="Z22" i="8" s="1"/>
  <c r="S22" i="8" a="1"/>
  <c r="S22" i="8" s="1"/>
  <c r="L22" i="8" a="1"/>
  <c r="L22" i="8" s="1"/>
  <c r="BM19" i="8" a="1"/>
  <c r="BM19" i="8" s="1"/>
  <c r="BM20" i="7" s="1"/>
  <c r="BE19" i="8" a="1"/>
  <c r="BE19" i="8" s="1"/>
  <c r="BE20" i="7" s="1"/>
  <c r="AW19" i="8" a="1"/>
  <c r="AW19" i="8" s="1"/>
  <c r="AW20" i="7" s="1"/>
  <c r="AO19" i="8" a="1"/>
  <c r="AO19" i="8" s="1"/>
  <c r="AO20" i="7" s="1"/>
  <c r="AG19" i="8" a="1"/>
  <c r="AG19" i="8" s="1"/>
  <c r="AG20" i="7" s="1"/>
  <c r="Y19" i="8" a="1"/>
  <c r="Y19" i="8" s="1"/>
  <c r="Y20" i="7" s="1"/>
  <c r="Q19" i="8" a="1"/>
  <c r="Q19" i="8" s="1"/>
  <c r="Q20" i="7" s="1"/>
  <c r="BQ18" i="8" a="1"/>
  <c r="BQ18" i="8" s="1"/>
  <c r="BI18" i="8" a="1"/>
  <c r="BI18" i="8" s="1"/>
  <c r="BA18" i="8" a="1"/>
  <c r="BA18" i="8" s="1"/>
  <c r="AS18" i="8" a="1"/>
  <c r="AS18" i="8" s="1"/>
  <c r="AK18" i="8" a="1"/>
  <c r="AK18" i="8" s="1"/>
  <c r="AC18" i="8" a="1"/>
  <c r="AC18" i="8" s="1"/>
  <c r="U18" i="8" a="1"/>
  <c r="U18" i="8" s="1"/>
  <c r="M18" i="8" a="1"/>
  <c r="M18" i="8" s="1"/>
  <c r="BN17" i="8" a="1"/>
  <c r="BN17" i="8" s="1"/>
  <c r="BN19" i="7" s="1"/>
  <c r="BF17" i="8" a="1"/>
  <c r="BF17" i="8" s="1"/>
  <c r="BF19" i="7" s="1"/>
  <c r="AX17" i="8" a="1"/>
  <c r="AX17" i="8" s="1"/>
  <c r="AX19" i="7" s="1"/>
  <c r="AP17" i="8" a="1"/>
  <c r="AP17" i="8" s="1"/>
  <c r="AP19" i="7" s="1"/>
  <c r="AI17" i="8" a="1"/>
  <c r="AI17" i="8" s="1"/>
  <c r="AA17" i="8" a="1"/>
  <c r="AA17" i="8" s="1"/>
  <c r="AA19" i="7" s="1"/>
  <c r="S17" i="8" a="1"/>
  <c r="S17" i="8" s="1"/>
  <c r="S19" i="7" s="1"/>
  <c r="K17" i="8" a="1"/>
  <c r="K17" i="8" s="1"/>
  <c r="BK16" i="8" a="1"/>
  <c r="BK16" i="8" s="1"/>
  <c r="BK18" i="7" s="1"/>
  <c r="BC16" i="8" a="1"/>
  <c r="BC16" i="8" s="1"/>
  <c r="BC18" i="7" s="1"/>
  <c r="AV16" i="8" a="1"/>
  <c r="AV16" i="8" s="1"/>
  <c r="AV18" i="7" s="1"/>
  <c r="AN16" i="8" a="1"/>
  <c r="AN16" i="8" s="1"/>
  <c r="AN18" i="7" s="1"/>
  <c r="Z16" i="8" a="1"/>
  <c r="Z16" i="8" s="1"/>
  <c r="Z18" i="7" s="1"/>
  <c r="R16" i="8" a="1"/>
  <c r="R16" i="8" s="1"/>
  <c r="R18" i="7" s="1"/>
  <c r="BR15" i="8" a="1"/>
  <c r="BR15" i="8" s="1"/>
  <c r="BR17" i="7" s="1"/>
  <c r="BJ15" i="8" a="1"/>
  <c r="BJ15" i="8" s="1"/>
  <c r="BJ17" i="7" s="1"/>
  <c r="BB15" i="8" a="1"/>
  <c r="BB15" i="8" s="1"/>
  <c r="BB17" i="7" s="1"/>
  <c r="AU15" i="8" a="1"/>
  <c r="AU15" i="8" s="1"/>
  <c r="AM15" i="8" a="1"/>
  <c r="AM15" i="8" s="1"/>
  <c r="AM17" i="7" s="1"/>
  <c r="AE15" i="8" a="1"/>
  <c r="AE15" i="8" s="1"/>
  <c r="AE17" i="7" s="1"/>
  <c r="W15" i="8" a="1"/>
  <c r="W15" i="8" s="1"/>
  <c r="O15" i="8" a="1"/>
  <c r="O15" i="8" s="1"/>
  <c r="O17" i="7" s="1"/>
  <c r="BP14" i="8" a="1"/>
  <c r="BP14" i="8" s="1"/>
  <c r="BI14" i="8" a="1"/>
  <c r="BI14" i="8" s="1"/>
  <c r="BA14" i="8" a="1"/>
  <c r="BA14" i="8" s="1"/>
  <c r="AS14" i="8" a="1"/>
  <c r="AS14" i="8" s="1"/>
  <c r="AK14" i="8" a="1"/>
  <c r="AK14" i="8" s="1"/>
  <c r="AC14" i="8" a="1"/>
  <c r="AC14" i="8" s="1"/>
  <c r="U14" i="8" a="1"/>
  <c r="U14" i="8" s="1"/>
  <c r="M14" i="8" a="1"/>
  <c r="M14" i="8" s="1"/>
  <c r="AZ14" i="8" a="1"/>
  <c r="AZ14" i="8" s="1"/>
  <c r="AJ14" i="8" a="1"/>
  <c r="AJ14" i="8" s="1"/>
  <c r="BQ22" i="8" a="1"/>
  <c r="BQ22" i="8" s="1"/>
  <c r="O22" i="8" a="1"/>
  <c r="O22" i="8" s="1"/>
  <c r="AK19" i="8" a="1"/>
  <c r="AK19" i="8" s="1"/>
  <c r="AK20" i="7" s="1"/>
  <c r="BE18" i="8" a="1"/>
  <c r="BE18" i="8" s="1"/>
  <c r="Q18" i="8" a="1"/>
  <c r="Q18" i="8" s="1"/>
  <c r="AE17" i="8" a="1"/>
  <c r="AE17" i="8" s="1"/>
  <c r="AE19" i="7" s="1"/>
  <c r="AZ16" i="8" a="1"/>
  <c r="AZ16" i="8" s="1"/>
  <c r="AZ18" i="7" s="1"/>
  <c r="BN15" i="8" a="1"/>
  <c r="BN15" i="8" s="1"/>
  <c r="BN17" i="7" s="1"/>
  <c r="AA15" i="8" a="1"/>
  <c r="AA15" i="8" s="1"/>
  <c r="AA17" i="7" s="1"/>
  <c r="AW14" i="8" a="1"/>
  <c r="AW14" i="8" s="1"/>
  <c r="BK27" i="8" a="1"/>
  <c r="BK27" i="8" s="1"/>
  <c r="BI26" i="8" a="1"/>
  <c r="BI26" i="8" s="1"/>
  <c r="BF25" i="8" a="1"/>
  <c r="BF25" i="8" s="1"/>
  <c r="H25" i="8" s="1"/>
  <c r="BM24" i="8" a="1"/>
  <c r="BM24" i="8" s="1"/>
  <c r="AI24" i="8" a="1"/>
  <c r="AI24" i="8" s="1"/>
  <c r="T24" i="8" a="1"/>
  <c r="T24" i="8" s="1"/>
  <c r="BQ23" i="8" a="1"/>
  <c r="BQ23" i="8" s="1"/>
  <c r="BF23" i="8" a="1"/>
  <c r="BF23" i="8" s="1"/>
  <c r="H23" i="8" s="1"/>
  <c r="AV23" i="8" a="1"/>
  <c r="AV23" i="8" s="1"/>
  <c r="AL23" i="8" a="1"/>
  <c r="AL23" i="8" s="1"/>
  <c r="AC23" i="8" a="1"/>
  <c r="AC23" i="8" s="1"/>
  <c r="T23" i="8" a="1"/>
  <c r="T23" i="8" s="1"/>
  <c r="L23" i="8" a="1"/>
  <c r="L23" i="8" s="1"/>
  <c r="BL22" i="8" a="1"/>
  <c r="BL22" i="8" s="1"/>
  <c r="BE22" i="8" a="1"/>
  <c r="BE22" i="8" s="1"/>
  <c r="AW22" i="8" a="1"/>
  <c r="AW22" i="8" s="1"/>
  <c r="AO22" i="8" a="1"/>
  <c r="AO22" i="8" s="1"/>
  <c r="AG22" i="8" a="1"/>
  <c r="AG22" i="8" s="1"/>
  <c r="Y22" i="8" a="1"/>
  <c r="Y22" i="8" s="1"/>
  <c r="R22" i="8" a="1"/>
  <c r="R22" i="8" s="1"/>
  <c r="K22" i="8" a="1"/>
  <c r="K22" i="8" s="1"/>
  <c r="BL19" i="8" a="1"/>
  <c r="BL19" i="8" s="1"/>
  <c r="BL20" i="7" s="1"/>
  <c r="BD19" i="8" a="1"/>
  <c r="BD19" i="8" s="1"/>
  <c r="BD20" i="7" s="1"/>
  <c r="AV19" i="8" a="1"/>
  <c r="AV19" i="8" s="1"/>
  <c r="AV20" i="7" s="1"/>
  <c r="AN19" i="8" a="1"/>
  <c r="AN19" i="8" s="1"/>
  <c r="AN20" i="7" s="1"/>
  <c r="AF19" i="8" a="1"/>
  <c r="AF19" i="8" s="1"/>
  <c r="AF20" i="7" s="1"/>
  <c r="X19" i="8" a="1"/>
  <c r="X19" i="8" s="1"/>
  <c r="X20" i="7" s="1"/>
  <c r="P19" i="8" a="1"/>
  <c r="P19" i="8" s="1"/>
  <c r="P20" i="7" s="1"/>
  <c r="BP18" i="8" a="1"/>
  <c r="BP18" i="8" s="1"/>
  <c r="BH18" i="8" a="1"/>
  <c r="BH18" i="8" s="1"/>
  <c r="AZ18" i="8" a="1"/>
  <c r="AZ18" i="8" s="1"/>
  <c r="AR18" i="8" a="1"/>
  <c r="AR18" i="8" s="1"/>
  <c r="AJ18" i="8" a="1"/>
  <c r="AJ18" i="8" s="1"/>
  <c r="AB18" i="8" a="1"/>
  <c r="AB18" i="8" s="1"/>
  <c r="T18" i="8" a="1"/>
  <c r="T18" i="8" s="1"/>
  <c r="BM17" i="8" a="1"/>
  <c r="BM17" i="8" s="1"/>
  <c r="BM19" i="7" s="1"/>
  <c r="BE17" i="8" a="1"/>
  <c r="BE17" i="8" s="1"/>
  <c r="BE19" i="7" s="1"/>
  <c r="AW17" i="8" a="1"/>
  <c r="AW17" i="8" s="1"/>
  <c r="AW19" i="7" s="1"/>
  <c r="AO17" i="8" a="1"/>
  <c r="AO17" i="8" s="1"/>
  <c r="AO19" i="7" s="1"/>
  <c r="AH17" i="8" a="1"/>
  <c r="AH17" i="8" s="1"/>
  <c r="AH19" i="7" s="1"/>
  <c r="Z17" i="8" a="1"/>
  <c r="Z17" i="8" s="1"/>
  <c r="Z19" i="7" s="1"/>
  <c r="R17" i="8" a="1"/>
  <c r="R17" i="8" s="1"/>
  <c r="R19" i="7" s="1"/>
  <c r="BR16" i="8" a="1"/>
  <c r="BR16" i="8" s="1"/>
  <c r="BR18" i="7" s="1"/>
  <c r="BJ16" i="8" a="1"/>
  <c r="BJ16" i="8" s="1"/>
  <c r="BJ18" i="7" s="1"/>
  <c r="AU16" i="8" a="1"/>
  <c r="AU16" i="8" s="1"/>
  <c r="AM16" i="8" a="1"/>
  <c r="AM16" i="8" s="1"/>
  <c r="AM18" i="7" s="1"/>
  <c r="AF16" i="8" a="1"/>
  <c r="AF16" i="8" s="1"/>
  <c r="AF18" i="7" s="1"/>
  <c r="Y16" i="8" a="1"/>
  <c r="Y16" i="8" s="1"/>
  <c r="Y18" i="7" s="1"/>
  <c r="Q16" i="8" a="1"/>
  <c r="Q16" i="8" s="1"/>
  <c r="Q18" i="7" s="1"/>
  <c r="BQ15" i="8" a="1"/>
  <c r="BQ15" i="8" s="1"/>
  <c r="BQ17" i="7" s="1"/>
  <c r="BI15" i="8" a="1"/>
  <c r="BI15" i="8" s="1"/>
  <c r="BI17" i="7" s="1"/>
  <c r="BA15" i="8" a="1"/>
  <c r="BA15" i="8" s="1"/>
  <c r="BA17" i="7" s="1"/>
  <c r="AT15" i="8" a="1"/>
  <c r="AT15" i="8" s="1"/>
  <c r="AT17" i="7" s="1"/>
  <c r="AL15" i="8" a="1"/>
  <c r="AL15" i="8" s="1"/>
  <c r="AL17" i="7" s="1"/>
  <c r="AD15" i="8" a="1"/>
  <c r="AD15" i="8" s="1"/>
  <c r="AD17" i="7" s="1"/>
  <c r="V15" i="8" a="1"/>
  <c r="V15" i="8" s="1"/>
  <c r="V17" i="7" s="1"/>
  <c r="N15" i="8" a="1"/>
  <c r="N15" i="8" s="1"/>
  <c r="N17" i="7" s="1"/>
  <c r="BO14" i="8" a="1"/>
  <c r="BO14" i="8" s="1"/>
  <c r="BH14" i="8" a="1"/>
  <c r="BH14" i="8" s="1"/>
  <c r="AR14" i="8" a="1"/>
  <c r="AR14" i="8" s="1"/>
  <c r="AB14" i="8" a="1"/>
  <c r="AB14" i="8" s="1"/>
  <c r="Y23" i="8" a="1"/>
  <c r="Y23" i="8" s="1"/>
  <c r="AT22" i="8" a="1"/>
  <c r="AT22" i="8" s="1"/>
  <c r="BI19" i="8" a="1"/>
  <c r="BI19" i="8" s="1"/>
  <c r="BI20" i="7" s="1"/>
  <c r="M19" i="8" a="1"/>
  <c r="M19" i="8" s="1"/>
  <c r="M20" i="7" s="1"/>
  <c r="Y18" i="8" a="1"/>
  <c r="Y18" i="8" s="1"/>
  <c r="AT17" i="8" a="1"/>
  <c r="AT17" i="8" s="1"/>
  <c r="AT19" i="7" s="1"/>
  <c r="BG16" i="8" a="1"/>
  <c r="BG16" i="8" s="1"/>
  <c r="V16" i="8" a="1"/>
  <c r="V16" i="8" s="1"/>
  <c r="V18" i="7" s="1"/>
  <c r="AI15" i="8" a="1"/>
  <c r="AI15" i="8" s="1"/>
  <c r="BE14" i="8" a="1"/>
  <c r="BE14" i="8" s="1"/>
  <c r="BC27" i="8" a="1"/>
  <c r="BC27" i="8" s="1"/>
  <c r="BA26" i="8" a="1"/>
  <c r="BA26" i="8" s="1"/>
  <c r="AY25" i="8" a="1"/>
  <c r="AY25" i="8" s="1"/>
  <c r="BK24" i="8" a="1"/>
  <c r="BK24" i="8" s="1"/>
  <c r="AH24" i="8" a="1"/>
  <c r="AH24" i="8" s="1"/>
  <c r="F24" i="8" s="1"/>
  <c r="S24" i="8" a="1"/>
  <c r="S24" i="8" s="1"/>
  <c r="BP23" i="8" a="1"/>
  <c r="BP23" i="8" s="1"/>
  <c r="BE23" i="8" a="1"/>
  <c r="BE23" i="8" s="1"/>
  <c r="AT23" i="8" a="1"/>
  <c r="AT23" i="8" s="1"/>
  <c r="G23" i="8" s="1"/>
  <c r="AK23" i="8" a="1"/>
  <c r="AK23" i="8" s="1"/>
  <c r="AB23" i="8" a="1"/>
  <c r="AB23" i="8" s="1"/>
  <c r="S23" i="8" a="1"/>
  <c r="S23" i="8" s="1"/>
  <c r="K23" i="8" a="1"/>
  <c r="K23" i="8" s="1"/>
  <c r="BK22" i="8" a="1"/>
  <c r="BK22" i="8" s="1"/>
  <c r="BD22" i="8" a="1"/>
  <c r="BD22" i="8" s="1"/>
  <c r="AV22" i="8" a="1"/>
  <c r="AV22" i="8" s="1"/>
  <c r="AN22" i="8" a="1"/>
  <c r="AN22" i="8" s="1"/>
  <c r="AF22" i="8" a="1"/>
  <c r="AF22" i="8" s="1"/>
  <c r="X22" i="8" a="1"/>
  <c r="X22" i="8" s="1"/>
  <c r="Q22" i="8" a="1"/>
  <c r="Q22" i="8" s="1"/>
  <c r="BR19" i="8" a="1"/>
  <c r="BR19" i="8" s="1"/>
  <c r="BR20" i="7" s="1"/>
  <c r="BK19" i="8" a="1"/>
  <c r="BK19" i="8" s="1"/>
  <c r="BK20" i="7" s="1"/>
  <c r="BC19" i="8" a="1"/>
  <c r="BC19" i="8" s="1"/>
  <c r="BC20" i="7" s="1"/>
  <c r="AU19" i="8" a="1"/>
  <c r="AU19" i="8" s="1"/>
  <c r="AM19" i="8" a="1"/>
  <c r="AM19" i="8" s="1"/>
  <c r="AM20" i="7" s="1"/>
  <c r="AE19" i="8" a="1"/>
  <c r="AE19" i="8" s="1"/>
  <c r="AE20" i="7" s="1"/>
  <c r="W19" i="8" a="1"/>
  <c r="W19" i="8" s="1"/>
  <c r="O19" i="8" a="1"/>
  <c r="O19" i="8" s="1"/>
  <c r="O20" i="7" s="1"/>
  <c r="BO18" i="8" a="1"/>
  <c r="BO18" i="8" s="1"/>
  <c r="BG18" i="8" a="1"/>
  <c r="BG18" i="8" s="1"/>
  <c r="AY18" i="8" a="1"/>
  <c r="AY18" i="8" s="1"/>
  <c r="AQ18" i="8" a="1"/>
  <c r="AQ18" i="8" s="1"/>
  <c r="AI18" i="8" a="1"/>
  <c r="AI18" i="8" s="1"/>
  <c r="AA18" i="8" a="1"/>
  <c r="AA18" i="8" s="1"/>
  <c r="S18" i="8" a="1"/>
  <c r="S18" i="8" s="1"/>
  <c r="L18" i="8" a="1"/>
  <c r="L18" i="8" s="1"/>
  <c r="BL17" i="8" a="1"/>
  <c r="BL17" i="8" s="1"/>
  <c r="BL19" i="7" s="1"/>
  <c r="BD17" i="8" a="1"/>
  <c r="BD17" i="8" s="1"/>
  <c r="BD19" i="7" s="1"/>
  <c r="AV17" i="8" a="1"/>
  <c r="AV17" i="8" s="1"/>
  <c r="AV19" i="7" s="1"/>
  <c r="AN17" i="8" a="1"/>
  <c r="AN17" i="8" s="1"/>
  <c r="AN19" i="7" s="1"/>
  <c r="AG17" i="8" a="1"/>
  <c r="AG17" i="8" s="1"/>
  <c r="AG19" i="7" s="1"/>
  <c r="Y17" i="8" a="1"/>
  <c r="Y17" i="8" s="1"/>
  <c r="Y19" i="7" s="1"/>
  <c r="Q17" i="8" a="1"/>
  <c r="Q17" i="8" s="1"/>
  <c r="Q19" i="7" s="1"/>
  <c r="BQ16" i="8" a="1"/>
  <c r="BQ16" i="8" s="1"/>
  <c r="BQ18" i="7" s="1"/>
  <c r="BI16" i="8" a="1"/>
  <c r="BI16" i="8" s="1"/>
  <c r="BI18" i="7" s="1"/>
  <c r="BB16" i="8" a="1"/>
  <c r="BB16" i="8" s="1"/>
  <c r="BB18" i="7" s="1"/>
  <c r="AT16" i="8" a="1"/>
  <c r="AT16" i="8" s="1"/>
  <c r="AT18" i="7" s="1"/>
  <c r="AL16" i="8" a="1"/>
  <c r="AL16" i="8" s="1"/>
  <c r="AL18" i="7" s="1"/>
  <c r="AE16" i="8" a="1"/>
  <c r="AE16" i="8" s="1"/>
  <c r="AE18" i="7" s="1"/>
  <c r="X16" i="8" a="1"/>
  <c r="X16" i="8" s="1"/>
  <c r="X18" i="7" s="1"/>
  <c r="P16" i="8" a="1"/>
  <c r="P16" i="8" s="1"/>
  <c r="P18" i="7" s="1"/>
  <c r="BP15" i="8" a="1"/>
  <c r="BP15" i="8" s="1"/>
  <c r="BP17" i="7" s="1"/>
  <c r="BH15" i="8" a="1"/>
  <c r="BH15" i="8" s="1"/>
  <c r="BH17" i="7" s="1"/>
  <c r="AZ15" i="8" a="1"/>
  <c r="AZ15" i="8" s="1"/>
  <c r="AZ17" i="7" s="1"/>
  <c r="AS15" i="8" a="1"/>
  <c r="AS15" i="8" s="1"/>
  <c r="AS17" i="7" s="1"/>
  <c r="AK15" i="8" a="1"/>
  <c r="AK15" i="8" s="1"/>
  <c r="AK17" i="7" s="1"/>
  <c r="AC15" i="8" a="1"/>
  <c r="AC15" i="8" s="1"/>
  <c r="AC17" i="7" s="1"/>
  <c r="U15" i="8" a="1"/>
  <c r="U15" i="8" s="1"/>
  <c r="U17" i="7" s="1"/>
  <c r="M15" i="8" a="1"/>
  <c r="M15" i="8" s="1"/>
  <c r="M17" i="7" s="1"/>
  <c r="BN14" i="8" a="1"/>
  <c r="BN14" i="8" s="1"/>
  <c r="BG14" i="8" a="1"/>
  <c r="BG14" i="8" s="1"/>
  <c r="AY14" i="8" a="1"/>
  <c r="AY14" i="8" s="1"/>
  <c r="AQ14" i="8" a="1"/>
  <c r="AQ14" i="8" s="1"/>
  <c r="AI14" i="8" a="1"/>
  <c r="AI14" i="8" s="1"/>
  <c r="AA14" i="8" a="1"/>
  <c r="AA14" i="8" s="1"/>
  <c r="S14" i="8" a="1"/>
  <c r="S14" i="8" s="1"/>
  <c r="K14" i="8" a="1"/>
  <c r="K14" i="8" s="1"/>
  <c r="AM27" i="8" a="1"/>
  <c r="AM27" i="8" s="1"/>
  <c r="AI25" i="8" a="1"/>
  <c r="AI25" i="8" s="1"/>
  <c r="AB24" i="8" a="1"/>
  <c r="AB24" i="8" s="1"/>
  <c r="BB23" i="8" a="1"/>
  <c r="BB23" i="8" s="1"/>
  <c r="AH23" i="8" a="1"/>
  <c r="AH23" i="8" s="1"/>
  <c r="F23" i="8" s="1"/>
  <c r="BB22" i="8" a="1"/>
  <c r="BB22" i="8" s="1"/>
  <c r="BQ19" i="8" a="1"/>
  <c r="BQ19" i="8" s="1"/>
  <c r="BQ20" i="7" s="1"/>
  <c r="AC19" i="8" a="1"/>
  <c r="AC19" i="8" s="1"/>
  <c r="AC20" i="7" s="1"/>
  <c r="AG18" i="8" a="1"/>
  <c r="AG18" i="8" s="1"/>
  <c r="BB17" i="8" a="1"/>
  <c r="BB17" i="8" s="1"/>
  <c r="BB19" i="7" s="1"/>
  <c r="BO16" i="8" a="1"/>
  <c r="BO16" i="8" s="1"/>
  <c r="BO18" i="7" s="1"/>
  <c r="AC16" i="8" a="1"/>
  <c r="AC16" i="8" s="1"/>
  <c r="AC18" i="7" s="1"/>
  <c r="AX15" i="8" a="1"/>
  <c r="AX15" i="8" s="1"/>
  <c r="AX17" i="7" s="1"/>
  <c r="BM14" i="8" a="1"/>
  <c r="BM14" i="8" s="1"/>
  <c r="AU27" i="8" a="1"/>
  <c r="AU27" i="8" s="1"/>
  <c r="AS26" i="8" a="1"/>
  <c r="AS26" i="8" s="1"/>
  <c r="AQ25" i="8" a="1"/>
  <c r="AQ25" i="8" s="1"/>
  <c r="BE24" i="8" a="1"/>
  <c r="BE24" i="8" s="1"/>
  <c r="AF24" i="8" a="1"/>
  <c r="AF24" i="8" s="1"/>
  <c r="Q24" i="8" a="1"/>
  <c r="Q24" i="8" s="1"/>
  <c r="BN23" i="8" a="1"/>
  <c r="BN23" i="8" s="1"/>
  <c r="BD23" i="8" a="1"/>
  <c r="BD23" i="8" s="1"/>
  <c r="AS23" i="8" a="1"/>
  <c r="AS23" i="8" s="1"/>
  <c r="AJ23" i="8" a="1"/>
  <c r="AJ23" i="8" s="1"/>
  <c r="Z23" i="8" a="1"/>
  <c r="Z23" i="8" s="1"/>
  <c r="R23" i="8" a="1"/>
  <c r="R23" i="8" s="1"/>
  <c r="BR22" i="8" a="1"/>
  <c r="BR22" i="8" s="1"/>
  <c r="BJ22" i="8" a="1"/>
  <c r="BJ22" i="8" s="1"/>
  <c r="BC22" i="8" a="1"/>
  <c r="BC22" i="8" s="1"/>
  <c r="AU22" i="8" a="1"/>
  <c r="AU22" i="8" s="1"/>
  <c r="AM22" i="8" a="1"/>
  <c r="AM22" i="8" s="1"/>
  <c r="AE22" i="8" a="1"/>
  <c r="AE22" i="8" s="1"/>
  <c r="W22" i="8" a="1"/>
  <c r="W22" i="8" s="1"/>
  <c r="P22" i="8" a="1"/>
  <c r="P22" i="8" s="1"/>
  <c r="BJ19" i="8" a="1"/>
  <c r="BJ19" i="8" s="1"/>
  <c r="BJ20" i="7" s="1"/>
  <c r="BB19" i="8" a="1"/>
  <c r="BB19" i="8" s="1"/>
  <c r="BB20" i="7" s="1"/>
  <c r="AT19" i="8" a="1"/>
  <c r="AT19" i="8" s="1"/>
  <c r="AT20" i="7" s="1"/>
  <c r="AL19" i="8" a="1"/>
  <c r="AL19" i="8" s="1"/>
  <c r="AL20" i="7" s="1"/>
  <c r="AD19" i="8" a="1"/>
  <c r="AD19" i="8" s="1"/>
  <c r="AD20" i="7" s="1"/>
  <c r="V19" i="8" a="1"/>
  <c r="V19" i="8" s="1"/>
  <c r="V20" i="7" s="1"/>
  <c r="N19" i="8" a="1"/>
  <c r="N19" i="8" s="1"/>
  <c r="N20" i="7" s="1"/>
  <c r="BN18" i="8" a="1"/>
  <c r="BN18" i="8" s="1"/>
  <c r="BF18" i="8" a="1"/>
  <c r="BF18" i="8" s="1"/>
  <c r="AX18" i="8" a="1"/>
  <c r="AX18" i="8" s="1"/>
  <c r="AP18" i="8" a="1"/>
  <c r="AP18" i="8" s="1"/>
  <c r="AH18" i="8" a="1"/>
  <c r="AH18" i="8" s="1"/>
  <c r="Z18" i="8" a="1"/>
  <c r="Z18" i="8" s="1"/>
  <c r="R18" i="8" a="1"/>
  <c r="R18" i="8" s="1"/>
  <c r="K18" i="8" a="1"/>
  <c r="K18" i="8" s="1"/>
  <c r="BK17" i="8" a="1"/>
  <c r="BK17" i="8" s="1"/>
  <c r="BK19" i="7" s="1"/>
  <c r="BC17" i="8" a="1"/>
  <c r="BC17" i="8" s="1"/>
  <c r="BC19" i="7" s="1"/>
  <c r="AU17" i="8" a="1"/>
  <c r="AU17" i="8" s="1"/>
  <c r="AM17" i="8" a="1"/>
  <c r="AM17" i="8" s="1"/>
  <c r="AM19" i="7" s="1"/>
  <c r="AF17" i="8" a="1"/>
  <c r="AF17" i="8" s="1"/>
  <c r="AF19" i="7" s="1"/>
  <c r="X17" i="8" a="1"/>
  <c r="X17" i="8" s="1"/>
  <c r="X19" i="7" s="1"/>
  <c r="P17" i="8" a="1"/>
  <c r="P17" i="8" s="1"/>
  <c r="P19" i="7" s="1"/>
  <c r="BP16" i="8" a="1"/>
  <c r="BP16" i="8" s="1"/>
  <c r="BP18" i="7" s="1"/>
  <c r="BH16" i="8" a="1"/>
  <c r="BH16" i="8" s="1"/>
  <c r="BH18" i="7" s="1"/>
  <c r="BA16" i="8" a="1"/>
  <c r="BA16" i="8" s="1"/>
  <c r="BA18" i="7" s="1"/>
  <c r="AS16" i="8" a="1"/>
  <c r="AS16" i="8" s="1"/>
  <c r="AS18" i="7" s="1"/>
  <c r="AK16" i="8" a="1"/>
  <c r="AK16" i="8" s="1"/>
  <c r="AK18" i="7" s="1"/>
  <c r="AD16" i="8" a="1"/>
  <c r="AD16" i="8" s="1"/>
  <c r="AD18" i="7" s="1"/>
  <c r="W16" i="8" a="1"/>
  <c r="W16" i="8" s="1"/>
  <c r="O16" i="8" a="1"/>
  <c r="O16" i="8" s="1"/>
  <c r="O18" i="7" s="1"/>
  <c r="BO15" i="8" a="1"/>
  <c r="BO15" i="8" s="1"/>
  <c r="BO17" i="7" s="1"/>
  <c r="BG15" i="8" a="1"/>
  <c r="BG15" i="8" s="1"/>
  <c r="AY15" i="8" a="1"/>
  <c r="AY15" i="8" s="1"/>
  <c r="AY17" i="7" s="1"/>
  <c r="AR15" i="8" a="1"/>
  <c r="AR15" i="8" s="1"/>
  <c r="AR17" i="7" s="1"/>
  <c r="AJ15" i="8" a="1"/>
  <c r="AJ15" i="8" s="1"/>
  <c r="AJ17" i="7" s="1"/>
  <c r="AB15" i="8" a="1"/>
  <c r="AB15" i="8" s="1"/>
  <c r="AB17" i="7" s="1"/>
  <c r="T15" i="8" a="1"/>
  <c r="T15" i="8" s="1"/>
  <c r="T17" i="7" s="1"/>
  <c r="BF14" i="8" a="1"/>
  <c r="BF14" i="8" s="1"/>
  <c r="AX14" i="8" a="1"/>
  <c r="AX14" i="8" s="1"/>
  <c r="AP14" i="8" a="1"/>
  <c r="AP14" i="8" s="1"/>
  <c r="AH14" i="8" a="1"/>
  <c r="AH14" i="8" s="1"/>
  <c r="Z14" i="8" a="1"/>
  <c r="Z14" i="8" s="1"/>
  <c r="R14" i="8" a="1"/>
  <c r="R14" i="8" s="1"/>
  <c r="AK26" i="8" a="1"/>
  <c r="AK26" i="8" s="1"/>
  <c r="BC24" i="8" a="1"/>
  <c r="BC24" i="8" s="1"/>
  <c r="BM23" i="8" a="1"/>
  <c r="BM23" i="8" s="1"/>
  <c r="AR23" i="8" a="1"/>
  <c r="AR23" i="8" s="1"/>
  <c r="BI22" i="8" a="1"/>
  <c r="BI22" i="8" s="1"/>
  <c r="AL22" i="8" a="1"/>
  <c r="AL22" i="8" s="1"/>
  <c r="AS19" i="8" a="1"/>
  <c r="AS19" i="8" s="1"/>
  <c r="AS20" i="7" s="1"/>
  <c r="BM18" i="8" a="1"/>
  <c r="BM18" i="8" s="1"/>
  <c r="AW18" i="8" a="1"/>
  <c r="AW18" i="8" s="1"/>
  <c r="BJ17" i="8" a="1"/>
  <c r="BJ17" i="8" s="1"/>
  <c r="BJ19" i="7" s="1"/>
  <c r="O17" i="8" a="1"/>
  <c r="O17" i="8" s="1"/>
  <c r="O19" i="7" s="1"/>
  <c r="AJ16" i="8" a="1"/>
  <c r="AJ16" i="8" s="1"/>
  <c r="AJ18" i="7" s="1"/>
  <c r="BF15" i="8" a="1"/>
  <c r="BF15" i="8" s="1"/>
  <c r="BF17" i="7" s="1"/>
  <c r="S15" i="8" a="1"/>
  <c r="S15" i="8" s="1"/>
  <c r="S17" i="7" s="1"/>
  <c r="AG14" i="8" a="1"/>
  <c r="AG14" i="8" s="1"/>
  <c r="Y14" i="8" a="1"/>
  <c r="Y14" i="8" s="1"/>
  <c r="Q14" i="8" a="1"/>
  <c r="Q14" i="8" s="1"/>
  <c r="AO14" i="8" a="1"/>
  <c r="AO14" i="8" s="1"/>
  <c r="M21" i="5"/>
  <c r="E21" i="5" s="1"/>
  <c r="AV29" i="9"/>
  <c r="BA11" i="4"/>
  <c r="AU29" i="9"/>
  <c r="AZ11" i="4"/>
  <c r="BD19" i="9"/>
  <c r="BD22" i="5"/>
  <c r="BD23" i="5" s="1"/>
  <c r="Y19" i="9"/>
  <c r="Y22" i="5"/>
  <c r="Y23" i="5" s="1"/>
  <c r="BQ19" i="9"/>
  <c r="BQ22" i="5"/>
  <c r="BQ23" i="5" s="1"/>
  <c r="V19" i="9"/>
  <c r="V22" i="5"/>
  <c r="V23" i="5" s="1"/>
  <c r="BK29" i="9"/>
  <c r="BP11" i="4"/>
  <c r="AM29" i="9"/>
  <c r="AR11" i="4"/>
  <c r="BR29" i="9"/>
  <c r="BW11" i="4"/>
  <c r="AP29" i="9"/>
  <c r="AU11" i="4"/>
  <c r="V29" i="9"/>
  <c r="AA11" i="4"/>
  <c r="BO19" i="9"/>
  <c r="BO22" i="5"/>
  <c r="BO23" i="5" s="1"/>
  <c r="Z19" i="9"/>
  <c r="Z22" i="5"/>
  <c r="Z23" i="5" s="1"/>
  <c r="AF19" i="9"/>
  <c r="AF22" i="5"/>
  <c r="AF23" i="5" s="1"/>
  <c r="AC29" i="9"/>
  <c r="AH11" i="4"/>
  <c r="BP29" i="9"/>
  <c r="BU11" i="4"/>
  <c r="AQ15" i="10"/>
  <c r="BH13" i="1"/>
  <c r="AH19" i="9"/>
  <c r="AH22" i="5"/>
  <c r="AH23" i="5" s="1"/>
  <c r="AN29" i="9"/>
  <c r="AS11" i="4"/>
  <c r="AK19" i="9"/>
  <c r="AK22" i="5"/>
  <c r="AK23" i="5" s="1"/>
  <c r="H19" i="5"/>
  <c r="AU21" i="5"/>
  <c r="H21" i="5" s="1"/>
  <c r="AU32" i="9"/>
  <c r="W30" i="9"/>
  <c r="AR19" i="9"/>
  <c r="AR22" i="5"/>
  <c r="AR23" i="5" s="1"/>
  <c r="P19" i="9"/>
  <c r="P22" i="5"/>
  <c r="P23" i="5" s="1"/>
  <c r="AT19" i="9"/>
  <c r="AT22" i="5"/>
  <c r="AT23" i="5" s="1"/>
  <c r="AH29" i="9"/>
  <c r="AM11" i="4"/>
  <c r="AQ29" i="9"/>
  <c r="AV11" i="4"/>
  <c r="AG29" i="9"/>
  <c r="AL11" i="4"/>
  <c r="K29" i="9"/>
  <c r="P11" i="4"/>
  <c r="AE29" i="9"/>
  <c r="AJ11" i="4"/>
  <c r="BL19" i="9"/>
  <c r="BL22" i="5"/>
  <c r="BL23" i="5" s="1"/>
  <c r="AX19" i="9"/>
  <c r="AX22" i="5"/>
  <c r="AX23" i="5" s="1"/>
  <c r="N19" i="9"/>
  <c r="N22" i="5"/>
  <c r="N23" i="5" s="1"/>
  <c r="T29" i="9"/>
  <c r="Y11" i="4"/>
  <c r="BI29" i="9"/>
  <c r="BN11" i="4"/>
  <c r="BH29" i="9"/>
  <c r="BM11" i="4"/>
  <c r="R23" i="5"/>
  <c r="AQ19" i="9"/>
  <c r="AQ22" i="5"/>
  <c r="AQ23" i="5" s="1"/>
  <c r="AA19" i="9"/>
  <c r="AA22" i="5"/>
  <c r="AA23" i="5" s="1"/>
  <c r="E19" i="5"/>
  <c r="L19" i="9"/>
  <c r="L22" i="5"/>
  <c r="L23" i="5" s="1"/>
  <c r="K19" i="9"/>
  <c r="K22" i="5"/>
  <c r="K23" i="5" s="1"/>
  <c r="AG19" i="9"/>
  <c r="AG22" i="5"/>
  <c r="AG23" i="5" s="1"/>
  <c r="AB19" i="9"/>
  <c r="AB22" i="5"/>
  <c r="AB23" i="5" s="1"/>
  <c r="BG19" i="9"/>
  <c r="BG22" i="5"/>
  <c r="BO29" i="9"/>
  <c r="BT11" i="4"/>
  <c r="Y29" i="9"/>
  <c r="AD11" i="4"/>
  <c r="BL29" i="9"/>
  <c r="BQ11" i="4"/>
  <c r="X29" i="9"/>
  <c r="AC11" i="4"/>
  <c r="U19" i="9"/>
  <c r="U22" i="5"/>
  <c r="U23" i="5" s="1"/>
  <c r="BB19" i="9"/>
  <c r="BB22" i="5"/>
  <c r="BB23" i="5" s="1"/>
  <c r="BA19" i="9"/>
  <c r="BA22" i="5"/>
  <c r="BA23" i="5" s="1"/>
  <c r="U29" i="9"/>
  <c r="Z11" i="4"/>
  <c r="W29" i="9"/>
  <c r="AB11" i="4"/>
  <c r="E11" i="6"/>
  <c r="P29" i="9"/>
  <c r="U11" i="4"/>
  <c r="AO22" i="5"/>
  <c r="AO23" i="5" s="1"/>
  <c r="AO19" i="9"/>
  <c r="AK29" i="9"/>
  <c r="AP11" i="4"/>
  <c r="W32" i="9"/>
  <c r="F32" i="9" s="1"/>
  <c r="G17" i="1"/>
  <c r="AN19" i="9"/>
  <c r="AN22" i="5"/>
  <c r="AN23" i="5" s="1"/>
  <c r="X19" i="9"/>
  <c r="X22" i="5"/>
  <c r="W19" i="9"/>
  <c r="W22" i="5"/>
  <c r="AE19" i="9"/>
  <c r="AE22" i="5"/>
  <c r="AE23" i="5" s="1"/>
  <c r="BJ29" i="9"/>
  <c r="BO11" i="4"/>
  <c r="AY29" i="9"/>
  <c r="BD11" i="4"/>
  <c r="L29" i="9"/>
  <c r="Q11" i="4"/>
  <c r="BK19" i="9"/>
  <c r="BK22" i="5"/>
  <c r="BK23" i="5" s="1"/>
  <c r="AP19" i="9"/>
  <c r="AP22" i="5"/>
  <c r="AP23" i="5" s="1"/>
  <c r="AV19" i="9"/>
  <c r="AV22" i="5"/>
  <c r="AV23" i="5" s="1"/>
  <c r="BA29" i="9"/>
  <c r="BF11" i="4"/>
  <c r="BF29" i="9"/>
  <c r="BK11" i="4"/>
  <c r="T19" i="9"/>
  <c r="T22" i="5"/>
  <c r="T23" i="5" s="1"/>
  <c r="BM19" i="9"/>
  <c r="BM22" i="5"/>
  <c r="BM23" i="5" s="1"/>
  <c r="AB29" i="9"/>
  <c r="AG11" i="4"/>
  <c r="M29" i="9"/>
  <c r="R11" i="4"/>
  <c r="BC29" i="9"/>
  <c r="BH11" i="4"/>
  <c r="AA29" i="9"/>
  <c r="AF11" i="4"/>
  <c r="AJ29" i="9"/>
  <c r="AO11" i="4"/>
  <c r="BQ29" i="9"/>
  <c r="BV11" i="4"/>
  <c r="AI19" i="9"/>
  <c r="AI22" i="5"/>
  <c r="AI23" i="5" s="1"/>
  <c r="S19" i="9"/>
  <c r="S22" i="5"/>
  <c r="S23" i="5" s="1"/>
  <c r="AL22" i="5"/>
  <c r="AL23" i="5" s="1"/>
  <c r="AL19" i="9"/>
  <c r="AL29" i="9"/>
  <c r="AQ11" i="4"/>
  <c r="AF29" i="9"/>
  <c r="AK11" i="4"/>
  <c r="AT29" i="9"/>
  <c r="AY11" i="4"/>
  <c r="BR22" i="5"/>
  <c r="BR23" i="5" s="1"/>
  <c r="BR19" i="9"/>
  <c r="AS19" i="9"/>
  <c r="AS22" i="5"/>
  <c r="AS23" i="5" s="1"/>
  <c r="M19" i="9"/>
  <c r="M22" i="5"/>
  <c r="AD19" i="9"/>
  <c r="AD22" i="5"/>
  <c r="AD23" i="5" s="1"/>
  <c r="AS29" i="9"/>
  <c r="AX11" i="4"/>
  <c r="N29" i="9"/>
  <c r="S11" i="4"/>
  <c r="AY19" i="9"/>
  <c r="AY22" i="5"/>
  <c r="AY23" i="5" s="1"/>
  <c r="Q29" i="9"/>
  <c r="V11" i="4"/>
  <c r="S12" i="7"/>
  <c r="S32" i="9" s="1"/>
  <c r="AO16" i="10"/>
  <c r="Z29" i="9"/>
  <c r="AE11" i="4"/>
  <c r="BP19" i="9"/>
  <c r="BP22" i="5"/>
  <c r="BP23" i="5" s="1"/>
  <c r="Q22" i="5"/>
  <c r="Q23" i="5" s="1"/>
  <c r="Q19" i="9"/>
  <c r="BJ19" i="9"/>
  <c r="BJ22" i="5"/>
  <c r="BJ23" i="5" s="1"/>
  <c r="O19" i="9"/>
  <c r="O22" i="5"/>
  <c r="O23" i="5" s="1"/>
  <c r="AI29" i="9"/>
  <c r="AN11" i="4"/>
  <c r="O29" i="9"/>
  <c r="T11" i="4"/>
  <c r="BN29" i="9"/>
  <c r="BS11" i="4"/>
  <c r="R29" i="9"/>
  <c r="W11" i="4"/>
  <c r="BM29" i="9"/>
  <c r="BR11" i="4"/>
  <c r="S29" i="9"/>
  <c r="X11" i="4"/>
  <c r="BG29" i="9"/>
  <c r="BL11" i="4"/>
  <c r="BF19" i="9"/>
  <c r="BF22" i="5"/>
  <c r="BF23" i="5" s="1"/>
  <c r="BH19" i="9"/>
  <c r="BH22" i="5"/>
  <c r="BH23" i="5" s="1"/>
  <c r="AZ29" i="9"/>
  <c r="BE11" i="4"/>
  <c r="AW22" i="5"/>
  <c r="AW23" i="5" s="1"/>
  <c r="AW19" i="9"/>
  <c r="BN19" i="9"/>
  <c r="BN22" i="5"/>
  <c r="BN23" i="5" s="1"/>
  <c r="AM19" i="9"/>
  <c r="AM22" i="5"/>
  <c r="AM23" i="5" s="1"/>
  <c r="AO29" i="9"/>
  <c r="AT11" i="4"/>
  <c r="AW29" i="9"/>
  <c r="BB11" i="4"/>
  <c r="AJ19" i="9"/>
  <c r="AJ22" i="5"/>
  <c r="AJ23" i="5" s="1"/>
  <c r="BE19" i="9"/>
  <c r="BE22" i="5"/>
  <c r="BE23" i="5" s="1"/>
  <c r="H44" i="8"/>
  <c r="AU19" i="9"/>
  <c r="AU22" i="5"/>
  <c r="AD29" i="9"/>
  <c r="AI11" i="4"/>
  <c r="BE29" i="9"/>
  <c r="BJ11" i="4"/>
  <c r="BD29" i="9"/>
  <c r="BI11" i="4"/>
  <c r="AX29" i="9"/>
  <c r="BC11" i="4"/>
  <c r="BB29" i="9"/>
  <c r="BG11" i="4"/>
  <c r="AZ19" i="9"/>
  <c r="AZ22" i="5"/>
  <c r="AZ23" i="5" s="1"/>
  <c r="BI19" i="9"/>
  <c r="BI22" i="5"/>
  <c r="BI23" i="5" s="1"/>
  <c r="BC19" i="9"/>
  <c r="BC22" i="5"/>
  <c r="BC23" i="5" s="1"/>
  <c r="AR29" i="9"/>
  <c r="AW11" i="4"/>
  <c r="L8" i="7"/>
  <c r="L21" i="9" s="1"/>
  <c r="CQ11" i="1"/>
  <c r="AI12" i="9"/>
  <c r="K14" i="1"/>
  <c r="L34" i="9"/>
  <c r="M23" i="6"/>
  <c r="L24" i="5"/>
  <c r="Q15" i="4"/>
  <c r="L35" i="9"/>
  <c r="M25" i="6"/>
  <c r="L25" i="5"/>
  <c r="K21" i="9"/>
  <c r="W12" i="9"/>
  <c r="G14" i="1"/>
  <c r="K24" i="7"/>
  <c r="AU12" i="9"/>
  <c r="O14" i="1"/>
  <c r="BG12" i="9"/>
  <c r="S14" i="1"/>
  <c r="CK9" i="1"/>
  <c r="BF11" i="7"/>
  <c r="BF30" i="9" s="1"/>
  <c r="AY11" i="7"/>
  <c r="AY30" i="9" s="1"/>
  <c r="AZ11" i="7"/>
  <c r="AZ30" i="9" s="1"/>
  <c r="BA11" i="7"/>
  <c r="BA30" i="9" s="1"/>
  <c r="AH11" i="7"/>
  <c r="AH30" i="9" s="1"/>
  <c r="AB11" i="7"/>
  <c r="AB30" i="9" s="1"/>
  <c r="AC11" i="7"/>
  <c r="AC30" i="9" s="1"/>
  <c r="AA11" i="7"/>
  <c r="AA30" i="9" s="1"/>
  <c r="BN11" i="7"/>
  <c r="BN30" i="9" s="1"/>
  <c r="BQ11" i="7"/>
  <c r="BQ30" i="9" s="1"/>
  <c r="BI11" i="7"/>
  <c r="BI30" i="9" s="1"/>
  <c r="BP11" i="7"/>
  <c r="BP30" i="9" s="1"/>
  <c r="BO11" i="7"/>
  <c r="BO30" i="9" s="1"/>
  <c r="BH11" i="7"/>
  <c r="BH30" i="9" s="1"/>
  <c r="BG11" i="7"/>
  <c r="I44" i="8"/>
  <c r="F12" i="8"/>
  <c r="F44" i="8"/>
  <c r="AP11" i="7"/>
  <c r="AP30" i="9" s="1"/>
  <c r="AQ11" i="7"/>
  <c r="AQ30" i="9" s="1"/>
  <c r="AS11" i="7"/>
  <c r="AS30" i="9" s="1"/>
  <c r="AR11" i="7"/>
  <c r="AR30" i="9" s="1"/>
  <c r="AK11" i="7"/>
  <c r="AK30" i="9" s="1"/>
  <c r="AJ11" i="7"/>
  <c r="AJ30" i="9" s="1"/>
  <c r="AI11" i="7"/>
  <c r="R11" i="7"/>
  <c r="R30" i="9" s="1"/>
  <c r="T11" i="7"/>
  <c r="T30" i="9" s="1"/>
  <c r="U11" i="7"/>
  <c r="U30" i="9" s="1"/>
  <c r="S11" i="7"/>
  <c r="S30" i="9" s="1"/>
  <c r="M11" i="7"/>
  <c r="M30" i="9" s="1"/>
  <c r="L11" i="7"/>
  <c r="L30" i="9" s="1"/>
  <c r="K11" i="7"/>
  <c r="S59" i="10"/>
  <c r="S31" i="10"/>
  <c r="T34" i="10"/>
  <c r="S58" i="10"/>
  <c r="S38" i="10"/>
  <c r="T53" i="10"/>
  <c r="S54" i="10"/>
  <c r="T45" i="10"/>
  <c r="T43" i="10"/>
  <c r="T35" i="10"/>
  <c r="S39" i="10"/>
  <c r="S66" i="10"/>
  <c r="S32" i="10"/>
  <c r="G44" i="8"/>
  <c r="E44" i="8"/>
  <c r="G12" i="8"/>
  <c r="I12" i="8"/>
  <c r="H12" i="8"/>
  <c r="G16" i="6"/>
  <c r="I21" i="5"/>
  <c r="G21" i="5"/>
  <c r="CM9" i="1"/>
  <c r="CL9" i="1"/>
  <c r="CI9" i="1"/>
  <c r="CJ9" i="1"/>
  <c r="CJ10" i="1"/>
  <c r="BF16" i="6" l="1"/>
  <c r="H16" i="6" s="1"/>
  <c r="P29" i="5"/>
  <c r="N29" i="5"/>
  <c r="X23" i="5"/>
  <c r="F21" i="5"/>
  <c r="V16" i="6"/>
  <c r="E16" i="6" s="1"/>
  <c r="T50" i="8" a="1"/>
  <c r="T50" i="8" s="1"/>
  <c r="BR16" i="6"/>
  <c r="I16" i="6" s="1"/>
  <c r="Y47" i="8" a="1"/>
  <c r="Y47" i="8" s="1"/>
  <c r="AH16" i="6"/>
  <c r="F16" i="6" s="1"/>
  <c r="AI49" i="8" a="1"/>
  <c r="AI49" i="8" s="1"/>
  <c r="AT48" i="8" a="1"/>
  <c r="AT48" i="8" s="1"/>
  <c r="AP47" i="8" a="1"/>
  <c r="AP47" i="8" s="1"/>
  <c r="AW46" i="8" a="1"/>
  <c r="AW46" i="8" s="1"/>
  <c r="BB50" i="8" a="1"/>
  <c r="BB50" i="8" s="1"/>
  <c r="Q48" i="8" a="1"/>
  <c r="Q48" i="8" s="1"/>
  <c r="Y50" i="8" a="1"/>
  <c r="Y50" i="8" s="1"/>
  <c r="AR46" i="8" a="1"/>
  <c r="AR46" i="8" s="1"/>
  <c r="AY48" i="8" a="1"/>
  <c r="AY48" i="8" s="1"/>
  <c r="E14" i="1"/>
  <c r="S17" i="1"/>
  <c r="I32" i="9"/>
  <c r="O17" i="1"/>
  <c r="H32" i="9"/>
  <c r="E32" i="9"/>
  <c r="K17" i="1"/>
  <c r="G32" i="9"/>
  <c r="AM50" i="8" a="1"/>
  <c r="AM50" i="8" s="1"/>
  <c r="U49" i="8" a="1"/>
  <c r="U49" i="8" s="1"/>
  <c r="AU47" i="8" a="1"/>
  <c r="AU47" i="8" s="1"/>
  <c r="V46" i="8" a="1"/>
  <c r="V46" i="8" s="1"/>
  <c r="AX49" i="8" a="1"/>
  <c r="AX49" i="8" s="1"/>
  <c r="AZ47" i="8" a="1"/>
  <c r="AZ47" i="8" s="1"/>
  <c r="AA46" i="8" a="1"/>
  <c r="AA46" i="8" s="1"/>
  <c r="BC49" i="8" a="1"/>
  <c r="BC49" i="8" s="1"/>
  <c r="AC48" i="8" a="1"/>
  <c r="AC48" i="8" s="1"/>
  <c r="BD48" i="8" a="1"/>
  <c r="BD48" i="8" s="1"/>
  <c r="AD47" i="8" a="1"/>
  <c r="AD47" i="8" s="1"/>
  <c r="BG50" i="8" a="1"/>
  <c r="BG50" i="8" s="1"/>
  <c r="AG49" i="8" a="1"/>
  <c r="AG49" i="8" s="1"/>
  <c r="X46" i="8" a="1"/>
  <c r="X46" i="8" s="1"/>
  <c r="BH49" i="8" a="1"/>
  <c r="BH49" i="8" s="1"/>
  <c r="AH48" i="8" a="1"/>
  <c r="AH48" i="8" s="1"/>
  <c r="BI46" i="8" a="1"/>
  <c r="BI46" i="8" s="1"/>
  <c r="AK50" i="8" a="1"/>
  <c r="AK50" i="8" s="1"/>
  <c r="AA47" i="8" a="1"/>
  <c r="AA47" i="8" s="1"/>
  <c r="BL50" i="8" a="1"/>
  <c r="BL50" i="8" s="1"/>
  <c r="AL49" i="8" a="1"/>
  <c r="AL49" i="8" s="1"/>
  <c r="L48" i="8" a="1"/>
  <c r="L48" i="8" s="1"/>
  <c r="AM46" i="8" a="1"/>
  <c r="AM46" i="8" s="1"/>
  <c r="AE48" i="8" a="1"/>
  <c r="AE48" i="8" s="1"/>
  <c r="N47" i="8" a="1"/>
  <c r="N47" i="8" s="1"/>
  <c r="AP50" i="8" a="1"/>
  <c r="AP50" i="8" s="1"/>
  <c r="P49" i="8" a="1"/>
  <c r="P49" i="8" s="1"/>
  <c r="AU28" i="8"/>
  <c r="AU17" i="6" s="1"/>
  <c r="BB28" i="8"/>
  <c r="BB17" i="6" s="1"/>
  <c r="AW28" i="8"/>
  <c r="AW17" i="6" s="1"/>
  <c r="AX28" i="8"/>
  <c r="AX17" i="6" s="1"/>
  <c r="BG28" i="8"/>
  <c r="BG17" i="6" s="1"/>
  <c r="AO28" i="8"/>
  <c r="AO17" i="6" s="1"/>
  <c r="BI28" i="8"/>
  <c r="BI17" i="6" s="1"/>
  <c r="AM28" i="8"/>
  <c r="AM17" i="6" s="1"/>
  <c r="M23" i="5"/>
  <c r="E26" i="1" s="1"/>
  <c r="BC28" i="8"/>
  <c r="BC17" i="6" s="1"/>
  <c r="AV28" i="8"/>
  <c r="AV17" i="6" s="1"/>
  <c r="L28" i="8"/>
  <c r="L17" i="6" s="1"/>
  <c r="U28" i="8"/>
  <c r="U17" i="6" s="1"/>
  <c r="BJ28" i="8"/>
  <c r="BJ17" i="6" s="1"/>
  <c r="BL28" i="8"/>
  <c r="BL17" i="6" s="1"/>
  <c r="T16" i="7"/>
  <c r="T21" i="7" s="1"/>
  <c r="T20" i="8"/>
  <c r="AU19" i="7"/>
  <c r="H19" i="7" s="1"/>
  <c r="H17" i="8"/>
  <c r="AO16" i="7"/>
  <c r="AO21" i="7" s="1"/>
  <c r="AO20" i="8"/>
  <c r="W18" i="7"/>
  <c r="F18" i="7" s="1"/>
  <c r="F16" i="8"/>
  <c r="S16" i="7"/>
  <c r="S21" i="7" s="1"/>
  <c r="S20" i="8"/>
  <c r="G22" i="8"/>
  <c r="AT28" i="8"/>
  <c r="AA20" i="8"/>
  <c r="AA16" i="7"/>
  <c r="AA21" i="7" s="1"/>
  <c r="AI16" i="7"/>
  <c r="AI20" i="8"/>
  <c r="G14" i="8"/>
  <c r="BR16" i="7"/>
  <c r="BR21" i="7" s="1"/>
  <c r="BR20" i="8"/>
  <c r="AG16" i="7"/>
  <c r="AG21" i="7" s="1"/>
  <c r="AG20" i="8"/>
  <c r="AI17" i="7"/>
  <c r="G17" i="7" s="1"/>
  <c r="G15" i="8"/>
  <c r="BI16" i="7"/>
  <c r="BI21" i="7" s="1"/>
  <c r="BI20" i="8"/>
  <c r="W19" i="7"/>
  <c r="F19" i="7" s="1"/>
  <c r="F17" i="8"/>
  <c r="AC28" i="8"/>
  <c r="AC17" i="6" s="1"/>
  <c r="H19" i="8"/>
  <c r="AU20" i="7"/>
  <c r="BQ28" i="8"/>
  <c r="BQ17" i="6" s="1"/>
  <c r="V28" i="8"/>
  <c r="E22" i="8"/>
  <c r="Z16" i="7"/>
  <c r="Z21" i="7" s="1"/>
  <c r="Z20" i="8"/>
  <c r="BD28" i="8"/>
  <c r="BD17" i="6" s="1"/>
  <c r="BG19" i="7"/>
  <c r="I19" i="7" s="1"/>
  <c r="I17" i="8"/>
  <c r="AB28" i="8"/>
  <c r="AB17" i="6" s="1"/>
  <c r="BL16" i="7"/>
  <c r="BL21" i="7" s="1"/>
  <c r="BL20" i="8"/>
  <c r="AL28" i="8"/>
  <c r="AL17" i="6" s="1"/>
  <c r="I22" i="8"/>
  <c r="BR28" i="8"/>
  <c r="AY16" i="7"/>
  <c r="AY21" i="7" s="1"/>
  <c r="AY20" i="8"/>
  <c r="AT50" i="8" a="1"/>
  <c r="AT50" i="8" s="1"/>
  <c r="AP49" i="8" a="1"/>
  <c r="AP49" i="8" s="1"/>
  <c r="AL48" i="8" a="1"/>
  <c r="AL48" i="8" s="1"/>
  <c r="AH47" i="8" a="1"/>
  <c r="AH47" i="8" s="1"/>
  <c r="AE46" i="8" a="1"/>
  <c r="AE46" i="8" s="1"/>
  <c r="AC50" i="8" a="1"/>
  <c r="AC50" i="8" s="1"/>
  <c r="Y49" i="8" a="1"/>
  <c r="Y49" i="8" s="1"/>
  <c r="U48" i="8" a="1"/>
  <c r="U48" i="8" s="1"/>
  <c r="R47" i="8" a="1"/>
  <c r="R47" i="8" s="1"/>
  <c r="N46" i="8" a="1"/>
  <c r="N46" i="8" s="1"/>
  <c r="L50" i="8" a="1"/>
  <c r="L50" i="8" s="1"/>
  <c r="BP48" i="8" a="1"/>
  <c r="BP48" i="8" s="1"/>
  <c r="BL47" i="8" a="1"/>
  <c r="BL47" i="8" s="1"/>
  <c r="BA46" i="8" a="1"/>
  <c r="BA46" i="8" s="1"/>
  <c r="AY50" i="8" a="1"/>
  <c r="AY50" i="8" s="1"/>
  <c r="AU49" i="8" a="1"/>
  <c r="AU49" i="8" s="1"/>
  <c r="AQ48" i="8" a="1"/>
  <c r="AQ48" i="8" s="1"/>
  <c r="AM47" i="8" a="1"/>
  <c r="AM47" i="8" s="1"/>
  <c r="AJ46" i="8" a="1"/>
  <c r="AJ46" i="8" s="1"/>
  <c r="AH50" i="8" a="1"/>
  <c r="AH50" i="8" s="1"/>
  <c r="AD49" i="8" a="1"/>
  <c r="AD49" i="8" s="1"/>
  <c r="Z48" i="8" a="1"/>
  <c r="Z48" i="8" s="1"/>
  <c r="W47" i="8" a="1"/>
  <c r="W47" i="8" s="1"/>
  <c r="S46" i="8" a="1"/>
  <c r="S46" i="8" s="1"/>
  <c r="Q50" i="8" a="1"/>
  <c r="Q50" i="8" s="1"/>
  <c r="M49" i="8" a="1"/>
  <c r="M49" i="8" s="1"/>
  <c r="BQ47" i="8" a="1"/>
  <c r="BQ47" i="8" s="1"/>
  <c r="BN46" i="8" a="1"/>
  <c r="BN46" i="8" s="1"/>
  <c r="BD50" i="8" a="1"/>
  <c r="BD50" i="8" s="1"/>
  <c r="AZ49" i="8" a="1"/>
  <c r="AZ49" i="8" s="1"/>
  <c r="AV48" i="8" a="1"/>
  <c r="AV48" i="8" s="1"/>
  <c r="AR47" i="8" a="1"/>
  <c r="AR47" i="8" s="1"/>
  <c r="AO46" i="8" a="1"/>
  <c r="AO46" i="8" s="1"/>
  <c r="AE50" i="8" a="1"/>
  <c r="AE50" i="8" s="1"/>
  <c r="AA49" i="8" a="1"/>
  <c r="AA49" i="8" s="1"/>
  <c r="W48" i="8" a="1"/>
  <c r="W48" i="8" s="1"/>
  <c r="T47" i="8" a="1"/>
  <c r="T47" i="8" s="1"/>
  <c r="P46" i="8" a="1"/>
  <c r="P46" i="8" s="1"/>
  <c r="AL50" i="8" a="1"/>
  <c r="AL50" i="8" s="1"/>
  <c r="AH49" i="8" a="1"/>
  <c r="AH49" i="8" s="1"/>
  <c r="AD48" i="8" a="1"/>
  <c r="AD48" i="8" s="1"/>
  <c r="Z47" i="8" a="1"/>
  <c r="Z47" i="8" s="1"/>
  <c r="W46" i="8" a="1"/>
  <c r="W46" i="8" s="1"/>
  <c r="U50" i="8" a="1"/>
  <c r="U50" i="8" s="1"/>
  <c r="Q49" i="8" a="1"/>
  <c r="Q49" i="8" s="1"/>
  <c r="M48" i="8" a="1"/>
  <c r="M48" i="8" s="1"/>
  <c r="BR46" i="8" a="1"/>
  <c r="BR46" i="8" s="1"/>
  <c r="BP50" i="8" a="1"/>
  <c r="BP50" i="8" s="1"/>
  <c r="BL49" i="8" a="1"/>
  <c r="BL49" i="8" s="1"/>
  <c r="BH48" i="8" a="1"/>
  <c r="BH48" i="8" s="1"/>
  <c r="BD47" i="8" a="1"/>
  <c r="BD47" i="8" s="1"/>
  <c r="AS46" i="8" a="1"/>
  <c r="AS46" i="8" s="1"/>
  <c r="AQ50" i="8" a="1"/>
  <c r="AQ50" i="8" s="1"/>
  <c r="AM49" i="8" a="1"/>
  <c r="AM49" i="8" s="1"/>
  <c r="AI48" i="8" a="1"/>
  <c r="AI48" i="8" s="1"/>
  <c r="AE47" i="8" a="1"/>
  <c r="AE47" i="8" s="1"/>
  <c r="AB46" i="8" a="1"/>
  <c r="AB46" i="8" s="1"/>
  <c r="Z50" i="8" a="1"/>
  <c r="Z50" i="8" s="1"/>
  <c r="V49" i="8" a="1"/>
  <c r="V49" i="8" s="1"/>
  <c r="R48" i="8" a="1"/>
  <c r="R48" i="8" s="1"/>
  <c r="O47" i="8" a="1"/>
  <c r="O47" i="8" s="1"/>
  <c r="K46" i="8" a="1"/>
  <c r="K46" i="8" s="1"/>
  <c r="BQ49" i="8" a="1"/>
  <c r="BQ49" i="8" s="1"/>
  <c r="BM48" i="8" a="1"/>
  <c r="BM48" i="8" s="1"/>
  <c r="BI47" i="8" a="1"/>
  <c r="BI47" i="8" s="1"/>
  <c r="BF46" i="8" a="1"/>
  <c r="BF46" i="8" s="1"/>
  <c r="AV50" i="8" a="1"/>
  <c r="AV50" i="8" s="1"/>
  <c r="AR49" i="8" a="1"/>
  <c r="AR49" i="8" s="1"/>
  <c r="AN48" i="8" a="1"/>
  <c r="AN48" i="8" s="1"/>
  <c r="AJ47" i="8" a="1"/>
  <c r="AJ47" i="8" s="1"/>
  <c r="AG46" i="8" a="1"/>
  <c r="AG46" i="8" s="1"/>
  <c r="W50" i="8" a="1"/>
  <c r="W50" i="8" s="1"/>
  <c r="S49" i="8" a="1"/>
  <c r="S49" i="8" s="1"/>
  <c r="O48" i="8" a="1"/>
  <c r="O48" i="8" s="1"/>
  <c r="L47" i="8" a="1"/>
  <c r="L47" i="8" s="1"/>
  <c r="AD50" i="8" a="1"/>
  <c r="AD50" i="8" s="1"/>
  <c r="Z49" i="8" a="1"/>
  <c r="Z49" i="8" s="1"/>
  <c r="V48" i="8" a="1"/>
  <c r="V48" i="8" s="1"/>
  <c r="S47" i="8" a="1"/>
  <c r="S47" i="8" s="1"/>
  <c r="O46" i="8" a="1"/>
  <c r="O46" i="8" s="1"/>
  <c r="M50" i="8" a="1"/>
  <c r="M50" i="8" s="1"/>
  <c r="BQ48" i="8" a="1"/>
  <c r="BQ48" i="8" s="1"/>
  <c r="BM47" i="8" a="1"/>
  <c r="BM47" i="8" s="1"/>
  <c r="BJ46" i="8" a="1"/>
  <c r="BJ46" i="8" s="1"/>
  <c r="BH50" i="8" a="1"/>
  <c r="BH50" i="8" s="1"/>
  <c r="BD49" i="8" a="1"/>
  <c r="BD49" i="8" s="1"/>
  <c r="AZ48" i="8" a="1"/>
  <c r="AZ48" i="8" s="1"/>
  <c r="AV47" i="8" a="1"/>
  <c r="AV47" i="8" s="1"/>
  <c r="AK46" i="8" a="1"/>
  <c r="AK46" i="8" s="1"/>
  <c r="AI50" i="8" a="1"/>
  <c r="AI50" i="8" s="1"/>
  <c r="AE49" i="8" a="1"/>
  <c r="AE49" i="8" s="1"/>
  <c r="AA48" i="8" a="1"/>
  <c r="AA48" i="8" s="1"/>
  <c r="X47" i="8" a="1"/>
  <c r="X47" i="8" s="1"/>
  <c r="T46" i="8" a="1"/>
  <c r="T46" i="8" s="1"/>
  <c r="R50" i="8" a="1"/>
  <c r="R50" i="8" s="1"/>
  <c r="N49" i="8" a="1"/>
  <c r="N49" i="8" s="1"/>
  <c r="BR47" i="8" a="1"/>
  <c r="BR47" i="8" s="1"/>
  <c r="BO46" i="8" a="1"/>
  <c r="BO46" i="8" s="1"/>
  <c r="BM50" i="8" a="1"/>
  <c r="BM50" i="8" s="1"/>
  <c r="BI49" i="8" a="1"/>
  <c r="BI49" i="8" s="1"/>
  <c r="BE48" i="8" a="1"/>
  <c r="BE48" i="8" s="1"/>
  <c r="BA47" i="8" a="1"/>
  <c r="BA47" i="8" s="1"/>
  <c r="AX46" i="8" a="1"/>
  <c r="AX46" i="8" s="1"/>
  <c r="AN50" i="8" a="1"/>
  <c r="AN50" i="8" s="1"/>
  <c r="AJ49" i="8" a="1"/>
  <c r="AJ49" i="8" s="1"/>
  <c r="AF48" i="8" a="1"/>
  <c r="AF48" i="8" s="1"/>
  <c r="AB47" i="8" a="1"/>
  <c r="AB47" i="8" s="1"/>
  <c r="Y46" i="8" a="1"/>
  <c r="Y46" i="8" s="1"/>
  <c r="O50" i="8" a="1"/>
  <c r="O50" i="8" s="1"/>
  <c r="K49" i="8" a="1"/>
  <c r="K49" i="8" s="1"/>
  <c r="BO47" i="8" a="1"/>
  <c r="BO47" i="8" s="1"/>
  <c r="BL46" i="8" a="1"/>
  <c r="BL46" i="8" s="1"/>
  <c r="V50" i="8" a="1"/>
  <c r="V50" i="8" s="1"/>
  <c r="R49" i="8" a="1"/>
  <c r="R49" i="8" s="1"/>
  <c r="N48" i="8" a="1"/>
  <c r="N48" i="8" s="1"/>
  <c r="K47" i="8" a="1"/>
  <c r="K47" i="8" s="1"/>
  <c r="BQ50" i="8" a="1"/>
  <c r="BQ50" i="8" s="1"/>
  <c r="BM49" i="8" a="1"/>
  <c r="BM49" i="8" s="1"/>
  <c r="BI48" i="8" a="1"/>
  <c r="BI48" i="8" s="1"/>
  <c r="BE47" i="8" a="1"/>
  <c r="BE47" i="8" s="1"/>
  <c r="BB46" i="8" a="1"/>
  <c r="BB46" i="8" s="1"/>
  <c r="AZ50" i="8" a="1"/>
  <c r="AZ50" i="8" s="1"/>
  <c r="AV49" i="8" a="1"/>
  <c r="AV49" i="8" s="1"/>
  <c r="AR48" i="8" a="1"/>
  <c r="AR48" i="8" s="1"/>
  <c r="AN47" i="8" a="1"/>
  <c r="AN47" i="8" s="1"/>
  <c r="AC46" i="8" a="1"/>
  <c r="AC46" i="8" s="1"/>
  <c r="AA50" i="8" a="1"/>
  <c r="AA50" i="8" s="1"/>
  <c r="W49" i="8" a="1"/>
  <c r="W49" i="8" s="1"/>
  <c r="S48" i="8" a="1"/>
  <c r="S48" i="8" s="1"/>
  <c r="P47" i="8" a="1"/>
  <c r="P47" i="8" s="1"/>
  <c r="L46" i="8" a="1"/>
  <c r="L46" i="8" s="1"/>
  <c r="BR49" i="8" a="1"/>
  <c r="BR49" i="8" s="1"/>
  <c r="BN48" i="8" a="1"/>
  <c r="BN48" i="8" s="1"/>
  <c r="BJ47" i="8" a="1"/>
  <c r="BJ47" i="8" s="1"/>
  <c r="BG46" i="8" a="1"/>
  <c r="BG46" i="8" s="1"/>
  <c r="BE50" i="8" a="1"/>
  <c r="BE50" i="8" s="1"/>
  <c r="BA49" i="8" a="1"/>
  <c r="BA49" i="8" s="1"/>
  <c r="AW48" i="8" a="1"/>
  <c r="AW48" i="8" s="1"/>
  <c r="AS47" i="8" a="1"/>
  <c r="AS47" i="8" s="1"/>
  <c r="AP46" i="8" a="1"/>
  <c r="AP46" i="8" s="1"/>
  <c r="AF50" i="8" a="1"/>
  <c r="AF50" i="8" s="1"/>
  <c r="AB49" i="8" a="1"/>
  <c r="AB49" i="8" s="1"/>
  <c r="X48" i="8" a="1"/>
  <c r="X48" i="8" s="1"/>
  <c r="U47" i="8" a="1"/>
  <c r="U47" i="8" s="1"/>
  <c r="Q46" i="8" a="1"/>
  <c r="Q46" i="8" s="1"/>
  <c r="BO49" i="8" a="1"/>
  <c r="BO49" i="8" s="1"/>
  <c r="BK48" i="8" a="1"/>
  <c r="BK48" i="8" s="1"/>
  <c r="BG47" i="8" a="1"/>
  <c r="BG47" i="8" s="1"/>
  <c r="BD46" i="8" a="1"/>
  <c r="BD46" i="8" s="1"/>
  <c r="N50" i="8" a="1"/>
  <c r="N50" i="8" s="1"/>
  <c r="BR48" i="8" a="1"/>
  <c r="BR48" i="8" s="1"/>
  <c r="BN47" i="8" a="1"/>
  <c r="BN47" i="8" s="1"/>
  <c r="BK46" i="8" a="1"/>
  <c r="BK46" i="8" s="1"/>
  <c r="BI50" i="8" a="1"/>
  <c r="BI50" i="8" s="1"/>
  <c r="BE49" i="8" a="1"/>
  <c r="BE49" i="8" s="1"/>
  <c r="BA48" i="8" a="1"/>
  <c r="BA48" i="8" s="1"/>
  <c r="AW47" i="8" a="1"/>
  <c r="AW47" i="8" s="1"/>
  <c r="AT46" i="8" a="1"/>
  <c r="AT46" i="8" s="1"/>
  <c r="AR50" i="8" a="1"/>
  <c r="AR50" i="8" s="1"/>
  <c r="AN49" i="8" a="1"/>
  <c r="AN49" i="8" s="1"/>
  <c r="AJ48" i="8" a="1"/>
  <c r="AJ48" i="8" s="1"/>
  <c r="AF47" i="8" a="1"/>
  <c r="AF47" i="8" s="1"/>
  <c r="U46" i="8" a="1"/>
  <c r="U46" i="8" s="1"/>
  <c r="S50" i="8" a="1"/>
  <c r="S50" i="8" s="1"/>
  <c r="O49" i="8" a="1"/>
  <c r="O49" i="8" s="1"/>
  <c r="K48" i="8" a="1"/>
  <c r="K48" i="8" s="1"/>
  <c r="BP46" i="8" a="1"/>
  <c r="BP46" i="8" s="1"/>
  <c r="BN50" i="8" a="1"/>
  <c r="BN50" i="8" s="1"/>
  <c r="BJ49" i="8" a="1"/>
  <c r="BJ49" i="8" s="1"/>
  <c r="BF48" i="8" a="1"/>
  <c r="BF48" i="8" s="1"/>
  <c r="BB47" i="8" a="1"/>
  <c r="BB47" i="8" s="1"/>
  <c r="AY46" i="8" a="1"/>
  <c r="AY46" i="8" s="1"/>
  <c r="AW50" i="8" a="1"/>
  <c r="AW50" i="8" s="1"/>
  <c r="AS49" i="8" a="1"/>
  <c r="AS49" i="8" s="1"/>
  <c r="AO48" i="8" a="1"/>
  <c r="AO48" i="8" s="1"/>
  <c r="AK47" i="8" a="1"/>
  <c r="AK47" i="8" s="1"/>
  <c r="AH46" i="8" a="1"/>
  <c r="AH46" i="8" s="1"/>
  <c r="X50" i="8" a="1"/>
  <c r="X50" i="8" s="1"/>
  <c r="T49" i="8" a="1"/>
  <c r="T49" i="8" s="1"/>
  <c r="P48" i="8" a="1"/>
  <c r="P48" i="8" s="1"/>
  <c r="M47" i="8" a="1"/>
  <c r="M47" i="8" s="1"/>
  <c r="BK50" i="8" a="1"/>
  <c r="BK50" i="8" s="1"/>
  <c r="BG49" i="8" a="1"/>
  <c r="BG49" i="8" s="1"/>
  <c r="BC48" i="8" a="1"/>
  <c r="BC48" i="8" s="1"/>
  <c r="AY47" i="8" a="1"/>
  <c r="AY47" i="8" s="1"/>
  <c r="AV46" i="8" a="1"/>
  <c r="AV46" i="8" s="1"/>
  <c r="BR50" i="8" a="1"/>
  <c r="BR50" i="8" s="1"/>
  <c r="BN49" i="8" a="1"/>
  <c r="BN49" i="8" s="1"/>
  <c r="BJ48" i="8" a="1"/>
  <c r="BJ48" i="8" s="1"/>
  <c r="BF47" i="8" a="1"/>
  <c r="BF47" i="8" s="1"/>
  <c r="BC46" i="8" a="1"/>
  <c r="BC46" i="8" s="1"/>
  <c r="BA50" i="8" a="1"/>
  <c r="BA50" i="8" s="1"/>
  <c r="AW49" i="8" a="1"/>
  <c r="AW49" i="8" s="1"/>
  <c r="AS48" i="8" a="1"/>
  <c r="AS48" i="8" s="1"/>
  <c r="AO47" i="8" a="1"/>
  <c r="AO47" i="8" s="1"/>
  <c r="AL46" i="8" a="1"/>
  <c r="AL46" i="8" s="1"/>
  <c r="AJ50" i="8" a="1"/>
  <c r="AJ50" i="8" s="1"/>
  <c r="AF49" i="8" a="1"/>
  <c r="AF49" i="8" s="1"/>
  <c r="AB48" i="8" a="1"/>
  <c r="AB48" i="8" s="1"/>
  <c r="Q47" i="8" a="1"/>
  <c r="Q47" i="8" s="1"/>
  <c r="M46" i="8" a="1"/>
  <c r="M46" i="8" s="1"/>
  <c r="K50" i="8" a="1"/>
  <c r="K50" i="8" s="1"/>
  <c r="BO48" i="8" a="1"/>
  <c r="BO48" i="8" s="1"/>
  <c r="BK47" i="8" a="1"/>
  <c r="BK47" i="8" s="1"/>
  <c r="BH46" i="8" a="1"/>
  <c r="BH46" i="8" s="1"/>
  <c r="BF50" i="8" a="1"/>
  <c r="BF50" i="8" s="1"/>
  <c r="BB49" i="8" a="1"/>
  <c r="BB49" i="8" s="1"/>
  <c r="AX48" i="8" a="1"/>
  <c r="AX48" i="8" s="1"/>
  <c r="AT47" i="8" a="1"/>
  <c r="AT47" i="8" s="1"/>
  <c r="AQ46" i="8" a="1"/>
  <c r="AQ46" i="8" s="1"/>
  <c r="AO50" i="8" a="1"/>
  <c r="AO50" i="8" s="1"/>
  <c r="AK49" i="8" a="1"/>
  <c r="AK49" i="8" s="1"/>
  <c r="AG48" i="8" a="1"/>
  <c r="AG48" i="8" s="1"/>
  <c r="AC47" i="8" a="1"/>
  <c r="AC47" i="8" s="1"/>
  <c r="Z46" i="8" a="1"/>
  <c r="Z46" i="8" s="1"/>
  <c r="P50" i="8" a="1"/>
  <c r="P50" i="8" s="1"/>
  <c r="L49" i="8" a="1"/>
  <c r="L49" i="8" s="1"/>
  <c r="BP47" i="8" a="1"/>
  <c r="BP47" i="8" s="1"/>
  <c r="BM46" i="8" a="1"/>
  <c r="BM46" i="8" s="1"/>
  <c r="BC50" i="8" a="1"/>
  <c r="BC50" i="8" s="1"/>
  <c r="AY49" i="8" a="1"/>
  <c r="AY49" i="8" s="1"/>
  <c r="AU48" i="8" a="1"/>
  <c r="AU48" i="8" s="1"/>
  <c r="AQ47" i="8" a="1"/>
  <c r="AQ47" i="8" s="1"/>
  <c r="AN46" i="8" a="1"/>
  <c r="AN46" i="8" s="1"/>
  <c r="BJ50" i="8" a="1"/>
  <c r="BJ50" i="8" s="1"/>
  <c r="BF49" i="8" a="1"/>
  <c r="BF49" i="8" s="1"/>
  <c r="BB48" i="8" a="1"/>
  <c r="BB48" i="8" s="1"/>
  <c r="AX47" i="8" a="1"/>
  <c r="AX47" i="8" s="1"/>
  <c r="AU46" i="8" a="1"/>
  <c r="AU46" i="8" s="1"/>
  <c r="AS50" i="8" a="1"/>
  <c r="AS50" i="8" s="1"/>
  <c r="AO49" i="8" a="1"/>
  <c r="AO49" i="8" s="1"/>
  <c r="AK48" i="8" a="1"/>
  <c r="AK48" i="8" s="1"/>
  <c r="AG47" i="8" a="1"/>
  <c r="AG47" i="8" s="1"/>
  <c r="AD46" i="8" a="1"/>
  <c r="AD46" i="8" s="1"/>
  <c r="AB50" i="8" a="1"/>
  <c r="AB50" i="8" s="1"/>
  <c r="X49" i="8" a="1"/>
  <c r="X49" i="8" s="1"/>
  <c r="T48" i="8" a="1"/>
  <c r="T48" i="8" s="1"/>
  <c r="BQ46" i="8" a="1"/>
  <c r="BQ46" i="8" s="1"/>
  <c r="BO50" i="8" a="1"/>
  <c r="BO50" i="8" s="1"/>
  <c r="BK49" i="8" a="1"/>
  <c r="BK49" i="8" s="1"/>
  <c r="BG48" i="8" a="1"/>
  <c r="BG48" i="8" s="1"/>
  <c r="BC47" i="8" a="1"/>
  <c r="BC47" i="8" s="1"/>
  <c r="AZ46" i="8" a="1"/>
  <c r="AZ46" i="8" s="1"/>
  <c r="AX50" i="8" a="1"/>
  <c r="AX50" i="8" s="1"/>
  <c r="AT49" i="8" a="1"/>
  <c r="AT49" i="8" s="1"/>
  <c r="AP48" i="8" a="1"/>
  <c r="AP48" i="8" s="1"/>
  <c r="AL47" i="8" a="1"/>
  <c r="AL47" i="8" s="1"/>
  <c r="AI46" i="8" a="1"/>
  <c r="AI46" i="8" s="1"/>
  <c r="AG50" i="8" a="1"/>
  <c r="AG50" i="8" s="1"/>
  <c r="AC49" i="8" a="1"/>
  <c r="AC49" i="8" s="1"/>
  <c r="Y48" i="8" a="1"/>
  <c r="Y48" i="8" s="1"/>
  <c r="V47" i="8" a="1"/>
  <c r="V47" i="8" s="1"/>
  <c r="R46" i="8" a="1"/>
  <c r="R46" i="8" s="1"/>
  <c r="BP49" i="8" a="1"/>
  <c r="BP49" i="8" s="1"/>
  <c r="BL48" i="8" a="1"/>
  <c r="BL48" i="8" s="1"/>
  <c r="BH47" i="8" a="1"/>
  <c r="BH47" i="8" s="1"/>
  <c r="BE46" i="8" a="1"/>
  <c r="BE46" i="8" s="1"/>
  <c r="AU50" i="8" a="1"/>
  <c r="AU50" i="8" s="1"/>
  <c r="AQ49" i="8" a="1"/>
  <c r="AQ49" i="8" s="1"/>
  <c r="AM48" i="8" a="1"/>
  <c r="AM48" i="8" s="1"/>
  <c r="AI47" i="8" a="1"/>
  <c r="AI47" i="8" s="1"/>
  <c r="AF46" i="8" a="1"/>
  <c r="AF46" i="8" s="1"/>
  <c r="Q16" i="7"/>
  <c r="Q21" i="7" s="1"/>
  <c r="Q20" i="8"/>
  <c r="BM16" i="7"/>
  <c r="BM21" i="7" s="1"/>
  <c r="BM20" i="8"/>
  <c r="Y16" i="7"/>
  <c r="Y21" i="7" s="1"/>
  <c r="Y20" i="8"/>
  <c r="BA16" i="7"/>
  <c r="BA21" i="7" s="1"/>
  <c r="BA20" i="8"/>
  <c r="AQ16" i="7"/>
  <c r="AQ21" i="7" s="1"/>
  <c r="AQ20" i="8"/>
  <c r="AJ16" i="7"/>
  <c r="AJ21" i="7" s="1"/>
  <c r="AJ20" i="8"/>
  <c r="K19" i="7"/>
  <c r="E19" i="7" s="1"/>
  <c r="E17" i="8"/>
  <c r="S28" i="8"/>
  <c r="S17" i="6" s="1"/>
  <c r="O16" i="7"/>
  <c r="O21" i="7" s="1"/>
  <c r="O20" i="8"/>
  <c r="AH16" i="7"/>
  <c r="AH21" i="7" s="1"/>
  <c r="AH20" i="8"/>
  <c r="AP16" i="7"/>
  <c r="AP21" i="7" s="1"/>
  <c r="AP20" i="8"/>
  <c r="BG17" i="7"/>
  <c r="I17" i="7" s="1"/>
  <c r="I15" i="8"/>
  <c r="P28" i="8"/>
  <c r="P17" i="6" s="1"/>
  <c r="R16" i="7"/>
  <c r="R21" i="7" s="1"/>
  <c r="R20" i="8"/>
  <c r="BE16" i="7"/>
  <c r="BE21" i="7" s="1"/>
  <c r="BE20" i="8"/>
  <c r="BE28" i="8"/>
  <c r="BE17" i="6" s="1"/>
  <c r="AL16" i="7"/>
  <c r="AL21" i="7" s="1"/>
  <c r="AL20" i="8"/>
  <c r="BN28" i="8"/>
  <c r="BN17" i="6" s="1"/>
  <c r="BD16" i="7"/>
  <c r="BD21" i="7" s="1"/>
  <c r="BD20" i="8"/>
  <c r="AT16" i="7"/>
  <c r="AT21" i="7" s="1"/>
  <c r="AT20" i="8"/>
  <c r="AX16" i="7"/>
  <c r="AX21" i="7" s="1"/>
  <c r="AX20" i="8"/>
  <c r="W28" i="8"/>
  <c r="W17" i="6" s="1"/>
  <c r="BN16" i="7"/>
  <c r="BN21" i="7" s="1"/>
  <c r="BN20" i="8"/>
  <c r="BK28" i="8"/>
  <c r="BK17" i="6" s="1"/>
  <c r="AB16" i="7"/>
  <c r="AB21" i="7" s="1"/>
  <c r="AB20" i="8"/>
  <c r="AU18" i="7"/>
  <c r="H18" i="7" s="1"/>
  <c r="H16" i="8"/>
  <c r="K28" i="8"/>
  <c r="K17" i="6" s="1"/>
  <c r="AZ16" i="7"/>
  <c r="AZ21" i="7" s="1"/>
  <c r="AZ20" i="8"/>
  <c r="BP16" i="7"/>
  <c r="BP21" i="7" s="1"/>
  <c r="BP20" i="8"/>
  <c r="Z28" i="8"/>
  <c r="Z17" i="6" s="1"/>
  <c r="BB16" i="7"/>
  <c r="BB21" i="7" s="1"/>
  <c r="BB20" i="8"/>
  <c r="M28" i="8"/>
  <c r="M17" i="6" s="1"/>
  <c r="W16" i="7"/>
  <c r="W20" i="8"/>
  <c r="F14" i="8"/>
  <c r="AI20" i="7"/>
  <c r="G20" i="7" s="1"/>
  <c r="G19" i="8"/>
  <c r="AJ28" i="8"/>
  <c r="AJ17" i="6" s="1"/>
  <c r="E15" i="8"/>
  <c r="K17" i="7"/>
  <c r="E17" i="7" s="1"/>
  <c r="AK28" i="8"/>
  <c r="AK17" i="6" s="1"/>
  <c r="BG16" i="7"/>
  <c r="BG20" i="8"/>
  <c r="I14" i="8"/>
  <c r="BG18" i="7"/>
  <c r="I18" i="7" s="1"/>
  <c r="I16" i="8"/>
  <c r="AR16" i="7"/>
  <c r="AR21" i="7" s="1"/>
  <c r="AR20" i="8"/>
  <c r="R28" i="8"/>
  <c r="R17" i="6" s="1"/>
  <c r="M16" i="7"/>
  <c r="M21" i="7" s="1"/>
  <c r="M20" i="8"/>
  <c r="F22" i="8"/>
  <c r="AH28" i="8"/>
  <c r="BJ16" i="7"/>
  <c r="BJ21" i="7" s="1"/>
  <c r="BJ20" i="8"/>
  <c r="K18" i="7"/>
  <c r="E18" i="7" s="1"/>
  <c r="E16" i="8"/>
  <c r="T28" i="8"/>
  <c r="T17" i="6" s="1"/>
  <c r="AE16" i="7"/>
  <c r="AE21" i="7" s="1"/>
  <c r="AE20" i="8"/>
  <c r="AR28" i="8"/>
  <c r="AR17" i="6" s="1"/>
  <c r="P16" i="7"/>
  <c r="P21" i="7" s="1"/>
  <c r="P20" i="8"/>
  <c r="AS28" i="8"/>
  <c r="AS17" i="6" s="1"/>
  <c r="Q28" i="8"/>
  <c r="Q17" i="6" s="1"/>
  <c r="BH16" i="7"/>
  <c r="BH21" i="7" s="1"/>
  <c r="BH20" i="8"/>
  <c r="Y28" i="8"/>
  <c r="Y17" i="6" s="1"/>
  <c r="U16" i="7"/>
  <c r="U21" i="7" s="1"/>
  <c r="U20" i="8"/>
  <c r="W17" i="7"/>
  <c r="F17" i="7" s="1"/>
  <c r="F15" i="8"/>
  <c r="AI19" i="7"/>
  <c r="G19" i="7" s="1"/>
  <c r="G17" i="8"/>
  <c r="AP28" i="8"/>
  <c r="AP17" i="6" s="1"/>
  <c r="L16" i="7"/>
  <c r="L21" i="7" s="1"/>
  <c r="L20" i="8"/>
  <c r="BQ16" i="7"/>
  <c r="BQ21" i="7" s="1"/>
  <c r="BQ20" i="8"/>
  <c r="AA28" i="8"/>
  <c r="AA17" i="6" s="1"/>
  <c r="AM16" i="7"/>
  <c r="AM21" i="7" s="1"/>
  <c r="AM20" i="8"/>
  <c r="AZ28" i="8"/>
  <c r="AZ17" i="6" s="1"/>
  <c r="X16" i="7"/>
  <c r="X21" i="7" s="1"/>
  <c r="X20" i="8"/>
  <c r="AI18" i="7"/>
  <c r="G18" i="7" s="1"/>
  <c r="G16" i="8"/>
  <c r="BA28" i="8"/>
  <c r="BA17" i="6" s="1"/>
  <c r="M27" i="6"/>
  <c r="L28" i="5"/>
  <c r="BF16" i="7"/>
  <c r="BF21" i="7" s="1"/>
  <c r="BF20" i="8"/>
  <c r="AE28" i="8"/>
  <c r="AE17" i="6" s="1"/>
  <c r="K16" i="7"/>
  <c r="K20" i="8"/>
  <c r="E14" i="8"/>
  <c r="W20" i="7"/>
  <c r="F20" i="7" s="1"/>
  <c r="F19" i="8"/>
  <c r="X28" i="8"/>
  <c r="X17" i="6" s="1"/>
  <c r="BO20" i="8"/>
  <c r="BO16" i="7"/>
  <c r="BO21" i="7" s="1"/>
  <c r="AG28" i="8"/>
  <c r="AG17" i="6" s="1"/>
  <c r="AC16" i="7"/>
  <c r="AC21" i="7" s="1"/>
  <c r="AC20" i="8"/>
  <c r="N16" i="7"/>
  <c r="N21" i="7" s="1"/>
  <c r="N20" i="8"/>
  <c r="AI28" i="8"/>
  <c r="AI17" i="6" s="1"/>
  <c r="AU16" i="7"/>
  <c r="H14" i="8"/>
  <c r="AU20" i="8"/>
  <c r="BG20" i="7"/>
  <c r="I20" i="7" s="1"/>
  <c r="I19" i="8"/>
  <c r="AF16" i="7"/>
  <c r="AF21" i="7" s="1"/>
  <c r="AF20" i="8"/>
  <c r="BH28" i="8"/>
  <c r="BH17" i="6" s="1"/>
  <c r="AF28" i="8"/>
  <c r="AF17" i="6" s="1"/>
  <c r="AK16" i="7"/>
  <c r="AK21" i="7" s="1"/>
  <c r="AK20" i="8"/>
  <c r="H22" i="8"/>
  <c r="BF28" i="8"/>
  <c r="V16" i="7"/>
  <c r="V21" i="7" s="1"/>
  <c r="V20" i="8"/>
  <c r="AQ28" i="8"/>
  <c r="AQ17" i="6" s="1"/>
  <c r="AD28" i="8"/>
  <c r="AD17" i="6" s="1"/>
  <c r="BC16" i="7"/>
  <c r="BC21" i="7" s="1"/>
  <c r="BC20" i="8"/>
  <c r="BO28" i="8"/>
  <c r="BO17" i="6" s="1"/>
  <c r="AN16" i="7"/>
  <c r="AN21" i="7" s="1"/>
  <c r="AN20" i="8"/>
  <c r="BP28" i="8"/>
  <c r="BP17" i="6" s="1"/>
  <c r="AN28" i="8"/>
  <c r="AN17" i="6" s="1"/>
  <c r="AW16" i="7"/>
  <c r="AW21" i="7" s="1"/>
  <c r="AW20" i="8"/>
  <c r="O28" i="8"/>
  <c r="O17" i="6" s="1"/>
  <c r="AS16" i="7"/>
  <c r="AS21" i="7" s="1"/>
  <c r="AS20" i="8"/>
  <c r="AU17" i="7"/>
  <c r="H17" i="7" s="1"/>
  <c r="H15" i="8"/>
  <c r="BM28" i="8"/>
  <c r="BM17" i="6" s="1"/>
  <c r="AD16" i="7"/>
  <c r="AD21" i="7" s="1"/>
  <c r="AD20" i="8"/>
  <c r="AY28" i="8"/>
  <c r="AY17" i="6" s="1"/>
  <c r="BK16" i="7"/>
  <c r="BK21" i="7" s="1"/>
  <c r="BK20" i="8"/>
  <c r="K20" i="7"/>
  <c r="E20" i="7" s="1"/>
  <c r="E19" i="8"/>
  <c r="N28" i="8"/>
  <c r="N17" i="6" s="1"/>
  <c r="AV16" i="7"/>
  <c r="AV21" i="7" s="1"/>
  <c r="AV20" i="8"/>
  <c r="F22" i="5"/>
  <c r="G11" i="4"/>
  <c r="G29" i="9"/>
  <c r="O16" i="1"/>
  <c r="G22" i="5"/>
  <c r="F19" i="9"/>
  <c r="F29" i="9"/>
  <c r="H30" i="9"/>
  <c r="G19" i="9"/>
  <c r="W23" i="5"/>
  <c r="F23" i="5" s="1"/>
  <c r="AQ25" i="10" s="1"/>
  <c r="AS10" i="10"/>
  <c r="K7" i="1"/>
  <c r="BG30" i="9"/>
  <c r="I30" i="9" s="1"/>
  <c r="S16" i="1"/>
  <c r="M11" i="4"/>
  <c r="E22" i="5"/>
  <c r="AU10" i="10"/>
  <c r="O7" i="1"/>
  <c r="I29" i="9"/>
  <c r="E19" i="9"/>
  <c r="AU23" i="5"/>
  <c r="K11" i="4"/>
  <c r="AQ10" i="10"/>
  <c r="G7" i="1"/>
  <c r="I11" i="4"/>
  <c r="AO10" i="10"/>
  <c r="E7" i="1"/>
  <c r="H22" i="5"/>
  <c r="I22" i="5"/>
  <c r="BG23" i="5"/>
  <c r="G16" i="1"/>
  <c r="H29" i="9"/>
  <c r="K30" i="9"/>
  <c r="E30" i="9" s="1"/>
  <c r="E16" i="1"/>
  <c r="H19" i="9"/>
  <c r="E17" i="1"/>
  <c r="H17" i="1" s="1"/>
  <c r="I19" i="9"/>
  <c r="E11" i="4"/>
  <c r="F30" i="9"/>
  <c r="S7" i="1"/>
  <c r="AW10" i="10"/>
  <c r="AI30" i="9"/>
  <c r="G30" i="9" s="1"/>
  <c r="K16" i="1"/>
  <c r="E29" i="9"/>
  <c r="M35" i="9"/>
  <c r="N25" i="6"/>
  <c r="M25" i="5"/>
  <c r="G23" i="5"/>
  <c r="AS25" i="10" s="1"/>
  <c r="K26" i="1"/>
  <c r="M34" i="9"/>
  <c r="N23" i="6"/>
  <c r="M24" i="5"/>
  <c r="R15" i="4"/>
  <c r="R28" i="6"/>
  <c r="Q29" i="5"/>
  <c r="E23" i="5"/>
  <c r="AO25" i="10" s="1"/>
  <c r="M8" i="7"/>
  <c r="CR11" i="1"/>
  <c r="CK10" i="1"/>
  <c r="U17" i="1" l="1"/>
  <c r="Q17" i="1"/>
  <c r="Q51" i="8" a="1"/>
  <c r="Q51" i="8" s="1"/>
  <c r="Q52" i="8" s="1"/>
  <c r="Q18" i="6" s="1"/>
  <c r="Q19" i="6" s="1"/>
  <c r="T17" i="1"/>
  <c r="M17" i="1"/>
  <c r="P17" i="1"/>
  <c r="L17" i="1"/>
  <c r="T16" i="1"/>
  <c r="I17" i="1"/>
  <c r="Y51" i="8" a="1"/>
  <c r="Y51" i="8" s="1"/>
  <c r="Y52" i="8" s="1"/>
  <c r="Y18" i="6" s="1"/>
  <c r="Y19" i="6" s="1"/>
  <c r="G26" i="1"/>
  <c r="L26" i="1" s="1"/>
  <c r="AP51" i="8" a="1"/>
  <c r="AP51" i="8" s="1"/>
  <c r="AP52" i="8" s="1"/>
  <c r="L51" i="8" a="1"/>
  <c r="L51" i="8" s="1"/>
  <c r="L52" i="8" s="1"/>
  <c r="L8" i="5" s="1"/>
  <c r="AA51" i="8" a="1"/>
  <c r="AA51" i="8" s="1"/>
  <c r="AA52" i="8" s="1"/>
  <c r="AA23" i="7" s="1"/>
  <c r="AF51" i="8" a="1"/>
  <c r="AF51" i="8" s="1"/>
  <c r="AF52" i="8" s="1"/>
  <c r="AF23" i="7" s="1"/>
  <c r="AS51" i="8" a="1"/>
  <c r="AS51" i="8" s="1"/>
  <c r="AS52" i="8" s="1"/>
  <c r="AS8" i="5" s="1"/>
  <c r="AZ51" i="8" a="1"/>
  <c r="AZ51" i="8" s="1"/>
  <c r="AZ52" i="8" s="1"/>
  <c r="AZ18" i="6" s="1"/>
  <c r="AZ19" i="6" s="1"/>
  <c r="T51" i="8" a="1"/>
  <c r="T51" i="8" s="1"/>
  <c r="T52" i="8" s="1"/>
  <c r="T23" i="7" s="1"/>
  <c r="AG51" i="8" a="1"/>
  <c r="AG51" i="8" s="1"/>
  <c r="AG52" i="8" s="1"/>
  <c r="AG23" i="7" s="1"/>
  <c r="BH51" i="8" a="1"/>
  <c r="BH51" i="8" s="1"/>
  <c r="BH52" i="8" s="1"/>
  <c r="BH18" i="6" s="1"/>
  <c r="BH19" i="6" s="1"/>
  <c r="BD51" i="8" a="1"/>
  <c r="BD51" i="8" s="1"/>
  <c r="BD52" i="8" s="1"/>
  <c r="BD8" i="5" s="1"/>
  <c r="AW51" i="8" a="1"/>
  <c r="AW51" i="8" s="1"/>
  <c r="AW52" i="8" s="1"/>
  <c r="AW8" i="5" s="1"/>
  <c r="AK51" i="8" a="1"/>
  <c r="AK51" i="8" s="1"/>
  <c r="AK52" i="8" s="1"/>
  <c r="AK23" i="7" s="1"/>
  <c r="BI51" i="8" a="1"/>
  <c r="BI51" i="8" s="1"/>
  <c r="BI52" i="8" s="1"/>
  <c r="BI8" i="5" s="1"/>
  <c r="AD51" i="8" a="1"/>
  <c r="AD51" i="8" s="1"/>
  <c r="AD52" i="8" s="1"/>
  <c r="AD23" i="7" s="1"/>
  <c r="AO51" i="8" a="1"/>
  <c r="AO51" i="8" s="1"/>
  <c r="AO52" i="8" s="1"/>
  <c r="AO8" i="5" s="1"/>
  <c r="AY51" i="8" a="1"/>
  <c r="AY51" i="8" s="1"/>
  <c r="AY52" i="8" s="1"/>
  <c r="AY23" i="7" s="1"/>
  <c r="BL51" i="8" a="1"/>
  <c r="BL51" i="8" s="1"/>
  <c r="BL52" i="8" s="1"/>
  <c r="BL23" i="7" s="1"/>
  <c r="AL51" i="8" a="1"/>
  <c r="AL51" i="8" s="1"/>
  <c r="AL52" i="8" s="1"/>
  <c r="AL23" i="7" s="1"/>
  <c r="AQ51" i="8" a="1"/>
  <c r="AQ51" i="8" s="1"/>
  <c r="AQ52" i="8" s="1"/>
  <c r="AQ18" i="6" s="1"/>
  <c r="AQ19" i="6" s="1"/>
  <c r="Z51" i="8" a="1"/>
  <c r="Z51" i="8" s="1"/>
  <c r="Z52" i="8" s="1"/>
  <c r="Z8" i="5" s="1"/>
  <c r="BB51" i="8" a="1"/>
  <c r="BB51" i="8" s="1"/>
  <c r="BB52" i="8" s="1"/>
  <c r="BB8" i="5" s="1"/>
  <c r="AB51" i="8" a="1"/>
  <c r="AB51" i="8" s="1"/>
  <c r="AB52" i="8" s="1"/>
  <c r="AB8" i="5" s="1"/>
  <c r="BC51" i="8" a="1"/>
  <c r="BC51" i="8" s="1"/>
  <c r="BC52" i="8" s="1"/>
  <c r="AN51" i="8" a="1"/>
  <c r="AN51" i="8" s="1"/>
  <c r="AN52" i="8" s="1"/>
  <c r="AN23" i="7" s="1"/>
  <c r="H47" i="8"/>
  <c r="F50" i="8"/>
  <c r="AE51" i="8" a="1"/>
  <c r="AE51" i="8" s="1"/>
  <c r="AE52" i="8" s="1"/>
  <c r="AE23" i="7" s="1"/>
  <c r="AR51" i="8" a="1"/>
  <c r="AR51" i="8" s="1"/>
  <c r="AR52" i="8" s="1"/>
  <c r="AR18" i="6" s="1"/>
  <c r="AR19" i="6" s="1"/>
  <c r="BQ51" i="8" a="1"/>
  <c r="BQ51" i="8" s="1"/>
  <c r="BQ52" i="8" s="1"/>
  <c r="BQ18" i="6" s="1"/>
  <c r="BQ19" i="6" s="1"/>
  <c r="BF51" i="8" a="1"/>
  <c r="BF51" i="8" s="1"/>
  <c r="BF52" i="8" s="1"/>
  <c r="BF8" i="5" s="1"/>
  <c r="BP51" i="8" a="1"/>
  <c r="BP51" i="8" s="1"/>
  <c r="BP52" i="8" s="1"/>
  <c r="BP8" i="5" s="1"/>
  <c r="BO51" i="8" a="1"/>
  <c r="BO51" i="8" s="1"/>
  <c r="BO52" i="8" s="1"/>
  <c r="BO23" i="7" s="1"/>
  <c r="AX51" i="8" a="1"/>
  <c r="AX51" i="8" s="1"/>
  <c r="AX52" i="8" s="1"/>
  <c r="AX23" i="7" s="1"/>
  <c r="V51" i="8" a="1"/>
  <c r="V51" i="8" s="1"/>
  <c r="V52" i="8" s="1"/>
  <c r="V8" i="5" s="1"/>
  <c r="BK51" i="8" a="1"/>
  <c r="BK51" i="8" s="1"/>
  <c r="BK52" i="8" s="1"/>
  <c r="BK8" i="5" s="1"/>
  <c r="E48" i="8"/>
  <c r="AT51" i="8" a="1"/>
  <c r="AT51" i="8" s="1"/>
  <c r="AT52" i="8" s="1"/>
  <c r="AT18" i="6" s="1"/>
  <c r="G18" i="6" s="1"/>
  <c r="N51" i="8" a="1"/>
  <c r="N51" i="8" s="1"/>
  <c r="N52" i="8" s="1"/>
  <c r="N23" i="7" s="1"/>
  <c r="BJ51" i="8" a="1"/>
  <c r="BJ51" i="8" s="1"/>
  <c r="BJ52" i="8" s="1"/>
  <c r="BJ18" i="6" s="1"/>
  <c r="BJ19" i="6" s="1"/>
  <c r="AC51" i="8" a="1"/>
  <c r="AC51" i="8" s="1"/>
  <c r="AC52" i="8" s="1"/>
  <c r="AC18" i="6" s="1"/>
  <c r="AC19" i="6" s="1"/>
  <c r="AM51" i="8" a="1"/>
  <c r="AM51" i="8" s="1"/>
  <c r="AM52" i="8" s="1"/>
  <c r="M51" i="8" a="1"/>
  <c r="M51" i="8" s="1"/>
  <c r="M52" i="8" s="1"/>
  <c r="M8" i="5" s="1"/>
  <c r="P51" i="8" a="1"/>
  <c r="P51" i="8" s="1"/>
  <c r="P52" i="8" s="1"/>
  <c r="P8" i="5" s="1"/>
  <c r="BA51" i="8" a="1"/>
  <c r="BA51" i="8" s="1"/>
  <c r="BA52" i="8" s="1"/>
  <c r="BA8" i="5" s="1"/>
  <c r="BM51" i="8" a="1"/>
  <c r="BM51" i="8" s="1"/>
  <c r="BM52" i="8" s="1"/>
  <c r="BM23" i="7" s="1"/>
  <c r="O51" i="8" a="1"/>
  <c r="O51" i="8" s="1"/>
  <c r="O52" i="8" s="1"/>
  <c r="O23" i="7" s="1"/>
  <c r="BE51" i="8" a="1"/>
  <c r="BE51" i="8" s="1"/>
  <c r="BE52" i="8" s="1"/>
  <c r="BE18" i="6" s="1"/>
  <c r="BE19" i="6" s="1"/>
  <c r="X51" i="8" a="1"/>
  <c r="X51" i="8" s="1"/>
  <c r="X52" i="8" s="1"/>
  <c r="X18" i="6" s="1"/>
  <c r="X19" i="6" s="1"/>
  <c r="I50" i="8"/>
  <c r="S51" i="8" a="1"/>
  <c r="S51" i="8" s="1"/>
  <c r="S52" i="8" s="1"/>
  <c r="S8" i="5" s="1"/>
  <c r="R51" i="8" a="1"/>
  <c r="R51" i="8" s="1"/>
  <c r="R52" i="8" s="1"/>
  <c r="R18" i="6" s="1"/>
  <c r="R19" i="6" s="1"/>
  <c r="AV51" i="8" a="1"/>
  <c r="AV51" i="8" s="1"/>
  <c r="AV52" i="8" s="1"/>
  <c r="AV18" i="6" s="1"/>
  <c r="AV19" i="6" s="1"/>
  <c r="H50" i="8"/>
  <c r="BG51" i="8" a="1"/>
  <c r="BG51" i="8" s="1"/>
  <c r="BG52" i="8" s="1"/>
  <c r="BR51" i="8" a="1"/>
  <c r="BR51" i="8" s="1"/>
  <c r="BR52" i="8" s="1"/>
  <c r="BR8" i="5" s="1"/>
  <c r="AH51" i="8" a="1"/>
  <c r="AH51" i="8" s="1"/>
  <c r="AH52" i="8" s="1"/>
  <c r="AH18" i="6" s="1"/>
  <c r="F18" i="6" s="1"/>
  <c r="U51" i="8" a="1"/>
  <c r="U51" i="8" s="1"/>
  <c r="U52" i="8" s="1"/>
  <c r="U18" i="6" s="1"/>
  <c r="U19" i="6" s="1"/>
  <c r="V10" i="4"/>
  <c r="Q7" i="5"/>
  <c r="L18" i="6"/>
  <c r="L19" i="6" s="1"/>
  <c r="H49" i="8"/>
  <c r="G49" i="8"/>
  <c r="BN10" i="4"/>
  <c r="BI7" i="5"/>
  <c r="G20" i="8"/>
  <c r="Q23" i="7"/>
  <c r="H28" i="8"/>
  <c r="BF17" i="6"/>
  <c r="AH10" i="4"/>
  <c r="AC7" i="5"/>
  <c r="E20" i="8"/>
  <c r="BQ7" i="5"/>
  <c r="BV10" i="4"/>
  <c r="F28" i="8"/>
  <c r="AH17" i="6"/>
  <c r="BA7" i="5"/>
  <c r="BF10" i="4"/>
  <c r="H48" i="8"/>
  <c r="E49" i="8"/>
  <c r="G48" i="8"/>
  <c r="F47" i="8"/>
  <c r="AU21" i="7"/>
  <c r="H20" i="7"/>
  <c r="G16" i="7"/>
  <c r="AI21" i="7"/>
  <c r="BK7" i="5"/>
  <c r="BP10" i="4"/>
  <c r="AX10" i="4"/>
  <c r="AS7" i="5"/>
  <c r="AS10" i="4"/>
  <c r="AN7" i="5"/>
  <c r="K51" i="8" a="1"/>
  <c r="K51" i="8" s="1"/>
  <c r="BJ10" i="4"/>
  <c r="BE7" i="5"/>
  <c r="H46" i="8"/>
  <c r="E46" i="8"/>
  <c r="BD10" i="4"/>
  <c r="AY7" i="5"/>
  <c r="AF10" i="4"/>
  <c r="AA7" i="5"/>
  <c r="S7" i="5"/>
  <c r="X10" i="4"/>
  <c r="BA10" i="4"/>
  <c r="AV7" i="5"/>
  <c r="AD7" i="5"/>
  <c r="AI10" i="4"/>
  <c r="BB10" i="4"/>
  <c r="AW7" i="5"/>
  <c r="BC7" i="5"/>
  <c r="BH10" i="4"/>
  <c r="BO7" i="5"/>
  <c r="BT10" i="4"/>
  <c r="L7" i="5"/>
  <c r="Q10" i="4"/>
  <c r="AE7" i="5"/>
  <c r="AJ10" i="4"/>
  <c r="I20" i="8"/>
  <c r="BU10" i="4"/>
  <c r="BP7" i="5"/>
  <c r="AU10" i="4"/>
  <c r="AP7" i="5"/>
  <c r="AD10" i="4"/>
  <c r="Y7" i="5"/>
  <c r="I28" i="8"/>
  <c r="BR17" i="6"/>
  <c r="Y10" i="4"/>
  <c r="T7" i="5"/>
  <c r="U10" i="4"/>
  <c r="P7" i="5"/>
  <c r="BJ7" i="5"/>
  <c r="BO10" i="4"/>
  <c r="BB7" i="5"/>
  <c r="BG10" i="4"/>
  <c r="BC10" i="4"/>
  <c r="AX7" i="5"/>
  <c r="Z10" i="4"/>
  <c r="U7" i="5"/>
  <c r="AG10" i="4"/>
  <c r="AB7" i="5"/>
  <c r="AY10" i="4"/>
  <c r="AT7" i="5"/>
  <c r="AP10" i="4"/>
  <c r="AK7" i="5"/>
  <c r="W51" i="8" a="1"/>
  <c r="W51" i="8" s="1"/>
  <c r="H16" i="7"/>
  <c r="M7" i="5"/>
  <c r="R10" i="4"/>
  <c r="I16" i="7"/>
  <c r="BG21" i="7"/>
  <c r="F20" i="8"/>
  <c r="BI10" i="4"/>
  <c r="BD7" i="5"/>
  <c r="W10" i="4"/>
  <c r="R7" i="5"/>
  <c r="AO10" i="4"/>
  <c r="AJ7" i="5"/>
  <c r="F48" i="8"/>
  <c r="BN51" i="8" a="1"/>
  <c r="BN51" i="8" s="1"/>
  <c r="BN52" i="8" s="1"/>
  <c r="AL10" i="4"/>
  <c r="AG7" i="5"/>
  <c r="V7" i="5"/>
  <c r="AA10" i="4"/>
  <c r="G47" i="8"/>
  <c r="I47" i="8"/>
  <c r="AU51" i="8" a="1"/>
  <c r="AU51" i="8" s="1"/>
  <c r="BK10" i="4"/>
  <c r="BF7" i="5"/>
  <c r="BM10" i="4"/>
  <c r="BH7" i="5"/>
  <c r="W21" i="7"/>
  <c r="F16" i="7"/>
  <c r="BE10" i="4"/>
  <c r="AZ7" i="5"/>
  <c r="BN7" i="5"/>
  <c r="BS10" i="4"/>
  <c r="AM10" i="4"/>
  <c r="AH7" i="5"/>
  <c r="BR10" i="4"/>
  <c r="BM7" i="5"/>
  <c r="E50" i="8"/>
  <c r="G50" i="8"/>
  <c r="F46" i="8"/>
  <c r="AJ51" i="8" a="1"/>
  <c r="AJ51" i="8" s="1"/>
  <c r="AJ52" i="8" s="1"/>
  <c r="Z7" i="5"/>
  <c r="AE10" i="4"/>
  <c r="G28" i="8"/>
  <c r="AT17" i="6"/>
  <c r="H20" i="8"/>
  <c r="K21" i="7"/>
  <c r="E16" i="7"/>
  <c r="E47" i="8"/>
  <c r="AC10" i="4"/>
  <c r="X7" i="5"/>
  <c r="M28" i="5"/>
  <c r="N27" i="6"/>
  <c r="AM7" i="5"/>
  <c r="AR10" i="4"/>
  <c r="AQ7" i="5"/>
  <c r="AV10" i="4"/>
  <c r="I48" i="8"/>
  <c r="F49" i="8"/>
  <c r="BW10" i="4"/>
  <c r="BR7" i="5"/>
  <c r="AT10" i="4"/>
  <c r="AO7" i="5"/>
  <c r="AP8" i="5"/>
  <c r="AP18" i="6"/>
  <c r="AP19" i="6" s="1"/>
  <c r="AP23" i="7"/>
  <c r="AK10" i="4"/>
  <c r="AF7" i="5"/>
  <c r="N7" i="5"/>
  <c r="S10" i="4"/>
  <c r="AW10" i="4"/>
  <c r="AR7" i="5"/>
  <c r="AL7" i="5"/>
  <c r="AQ10" i="4"/>
  <c r="T10" i="4"/>
  <c r="O7" i="5"/>
  <c r="G46" i="8"/>
  <c r="BD18" i="6"/>
  <c r="BD19" i="6" s="1"/>
  <c r="BD23" i="7"/>
  <c r="I49" i="8"/>
  <c r="I46" i="8"/>
  <c r="BQ10" i="4"/>
  <c r="BL7" i="5"/>
  <c r="V17" i="6"/>
  <c r="E28" i="8"/>
  <c r="AI51" i="8" a="1"/>
  <c r="AI51" i="8" s="1"/>
  <c r="H16" i="1"/>
  <c r="I16" i="1"/>
  <c r="S26" i="1"/>
  <c r="I23" i="5"/>
  <c r="AW25" i="10" s="1"/>
  <c r="L16" i="1"/>
  <c r="M16" i="1"/>
  <c r="I7" i="1"/>
  <c r="H7" i="1"/>
  <c r="Q7" i="1"/>
  <c r="P7" i="1"/>
  <c r="U16" i="1"/>
  <c r="Q16" i="1"/>
  <c r="P16" i="1"/>
  <c r="T7" i="1"/>
  <c r="U7" i="1"/>
  <c r="H23" i="5"/>
  <c r="AU25" i="10" s="1"/>
  <c r="O26" i="1"/>
  <c r="P26" i="1" s="1"/>
  <c r="M7" i="1"/>
  <c r="L7" i="1"/>
  <c r="N35" i="9"/>
  <c r="O25" i="6"/>
  <c r="N25" i="5"/>
  <c r="N34" i="9"/>
  <c r="N24" i="5"/>
  <c r="S15" i="4"/>
  <c r="O23" i="6"/>
  <c r="N8" i="7"/>
  <c r="N21" i="9" s="1"/>
  <c r="CS11" i="1"/>
  <c r="M21" i="9"/>
  <c r="R29" i="5"/>
  <c r="S28" i="6"/>
  <c r="CL10" i="1"/>
  <c r="CM10" i="1"/>
  <c r="Q8" i="5" l="1"/>
  <c r="AQ23" i="7"/>
  <c r="AW18" i="6"/>
  <c r="AW19" i="6" s="1"/>
  <c r="AA18" i="6"/>
  <c r="AA19" i="6" s="1"/>
  <c r="AE18" i="6"/>
  <c r="AE19" i="6" s="1"/>
  <c r="BK18" i="6"/>
  <c r="BK19" i="6" s="1"/>
  <c r="AA8" i="5"/>
  <c r="BK23" i="7"/>
  <c r="AQ8" i="5"/>
  <c r="AW23" i="7"/>
  <c r="P23" i="7"/>
  <c r="AE8" i="5"/>
  <c r="R8" i="5"/>
  <c r="P18" i="6"/>
  <c r="P19" i="6" s="1"/>
  <c r="Z23" i="7"/>
  <c r="AV23" i="7"/>
  <c r="L23" i="7"/>
  <c r="AZ8" i="5"/>
  <c r="Y23" i="7"/>
  <c r="Y8" i="5"/>
  <c r="I26" i="1"/>
  <c r="M26" i="1"/>
  <c r="H26" i="1"/>
  <c r="AF8" i="5"/>
  <c r="AR8" i="5"/>
  <c r="AR23" i="7"/>
  <c r="BF23" i="7"/>
  <c r="T18" i="6"/>
  <c r="T19" i="6" s="1"/>
  <c r="AB23" i="7"/>
  <c r="AD18" i="6"/>
  <c r="AD19" i="6" s="1"/>
  <c r="AZ23" i="7"/>
  <c r="AD8" i="5"/>
  <c r="BF18" i="6"/>
  <c r="H18" i="6" s="1"/>
  <c r="O8" i="5"/>
  <c r="AB18" i="6"/>
  <c r="AB19" i="6" s="1"/>
  <c r="AV8" i="5"/>
  <c r="Z18" i="6"/>
  <c r="Z19" i="6" s="1"/>
  <c r="BA23" i="7"/>
  <c r="AS23" i="7"/>
  <c r="BP18" i="6"/>
  <c r="BP19" i="6" s="1"/>
  <c r="AK18" i="6"/>
  <c r="AK19" i="6" s="1"/>
  <c r="AF18" i="6"/>
  <c r="AF19" i="6" s="1"/>
  <c r="BA18" i="6"/>
  <c r="BA19" i="6" s="1"/>
  <c r="AS18" i="6"/>
  <c r="AS19" i="6" s="1"/>
  <c r="AK8" i="5"/>
  <c r="BB18" i="6"/>
  <c r="BB19" i="6" s="1"/>
  <c r="BJ23" i="7"/>
  <c r="T8" i="5"/>
  <c r="F51" i="8"/>
  <c r="BI23" i="7"/>
  <c r="AN18" i="6"/>
  <c r="AN19" i="6" s="1"/>
  <c r="BO8" i="5"/>
  <c r="BI18" i="6"/>
  <c r="BI19" i="6" s="1"/>
  <c r="AG18" i="6"/>
  <c r="AG19" i="6" s="1"/>
  <c r="BQ8" i="5"/>
  <c r="AY8" i="5"/>
  <c r="BQ23" i="7"/>
  <c r="AY18" i="6"/>
  <c r="AY19" i="6" s="1"/>
  <c r="BB23" i="7"/>
  <c r="BO18" i="6"/>
  <c r="BO19" i="6" s="1"/>
  <c r="BP23" i="7"/>
  <c r="X23" i="7"/>
  <c r="AC8" i="5"/>
  <c r="BH23" i="7"/>
  <c r="AO18" i="6"/>
  <c r="AO19" i="6" s="1"/>
  <c r="N8" i="5"/>
  <c r="X8" i="5"/>
  <c r="BL18" i="6"/>
  <c r="BL19" i="6" s="1"/>
  <c r="AC23" i="7"/>
  <c r="BH8" i="5"/>
  <c r="R23" i="7"/>
  <c r="AN8" i="5"/>
  <c r="AO23" i="7"/>
  <c r="N18" i="6"/>
  <c r="N19" i="6" s="1"/>
  <c r="O18" i="6"/>
  <c r="O19" i="6" s="1"/>
  <c r="AX18" i="6"/>
  <c r="AX19" i="6" s="1"/>
  <c r="AG8" i="5"/>
  <c r="AT23" i="7"/>
  <c r="AX8" i="5"/>
  <c r="AM18" i="6"/>
  <c r="AM19" i="6" s="1"/>
  <c r="AM23" i="7"/>
  <c r="AM8" i="5"/>
  <c r="AL18" i="6"/>
  <c r="AL19" i="6" s="1"/>
  <c r="AH23" i="7"/>
  <c r="AL8" i="5"/>
  <c r="V18" i="6"/>
  <c r="E18" i="6" s="1"/>
  <c r="S23" i="7"/>
  <c r="V23" i="7"/>
  <c r="S18" i="6"/>
  <c r="S19" i="6" s="1"/>
  <c r="M23" i="7"/>
  <c r="E51" i="8"/>
  <c r="M18" i="6"/>
  <c r="M19" i="6" s="1"/>
  <c r="AH8" i="5"/>
  <c r="U8" i="5"/>
  <c r="BL8" i="5"/>
  <c r="W52" i="8"/>
  <c r="W8" i="5" s="1"/>
  <c r="BR18" i="6"/>
  <c r="I18" i="6" s="1"/>
  <c r="BJ8" i="5"/>
  <c r="AT8" i="5"/>
  <c r="U23" i="7"/>
  <c r="BM8" i="5"/>
  <c r="BE23" i="7"/>
  <c r="BM18" i="6"/>
  <c r="BM19" i="6" s="1"/>
  <c r="BR23" i="7"/>
  <c r="BE8" i="5"/>
  <c r="AB10" i="4"/>
  <c r="G10" i="4" s="1"/>
  <c r="F21" i="7"/>
  <c r="W7" i="5"/>
  <c r="F7" i="5" s="1"/>
  <c r="F17" i="6"/>
  <c r="AH19" i="6"/>
  <c r="F19" i="6" s="1"/>
  <c r="E8" i="1"/>
  <c r="AO11" i="10"/>
  <c r="G17" i="6"/>
  <c r="AT19" i="6"/>
  <c r="G19" i="6" s="1"/>
  <c r="BC18" i="6"/>
  <c r="BC19" i="6" s="1"/>
  <c r="BC8" i="5"/>
  <c r="BC23" i="7"/>
  <c r="BN18" i="6"/>
  <c r="BN19" i="6" s="1"/>
  <c r="BN23" i="7"/>
  <c r="BN8" i="5"/>
  <c r="G8" i="1"/>
  <c r="AQ11" i="10"/>
  <c r="BH16" i="1"/>
  <c r="H21" i="7"/>
  <c r="AU7" i="5"/>
  <c r="H7" i="5" s="1"/>
  <c r="AZ10" i="4"/>
  <c r="K10" i="4" s="1"/>
  <c r="AI7" i="5"/>
  <c r="G7" i="5" s="1"/>
  <c r="G21" i="7"/>
  <c r="AN10" i="4"/>
  <c r="I10" i="4" s="1"/>
  <c r="O27" i="6"/>
  <c r="N28" i="5"/>
  <c r="I21" i="7"/>
  <c r="BL10" i="4"/>
  <c r="M10" i="4" s="1"/>
  <c r="BG7" i="5"/>
  <c r="I7" i="5" s="1"/>
  <c r="H17" i="6"/>
  <c r="K8" i="1"/>
  <c r="AS11" i="10"/>
  <c r="I51" i="8"/>
  <c r="E17" i="6"/>
  <c r="BG23" i="7"/>
  <c r="BG8" i="5"/>
  <c r="I52" i="8"/>
  <c r="BG18" i="6"/>
  <c r="BG19" i="6" s="1"/>
  <c r="AU52" i="8"/>
  <c r="H51" i="8"/>
  <c r="AU11" i="10"/>
  <c r="O8" i="1"/>
  <c r="I17" i="6"/>
  <c r="AW11" i="10"/>
  <c r="S8" i="1"/>
  <c r="K52" i="8"/>
  <c r="E21" i="7"/>
  <c r="P10" i="4"/>
  <c r="E10" i="4" s="1"/>
  <c r="K7" i="5"/>
  <c r="E7" i="5" s="1"/>
  <c r="AI52" i="8"/>
  <c r="G51" i="8"/>
  <c r="AJ18" i="6"/>
  <c r="AJ19" i="6" s="1"/>
  <c r="AJ23" i="7"/>
  <c r="AJ8" i="5"/>
  <c r="Q26" i="1"/>
  <c r="T26" i="1"/>
  <c r="U26" i="1"/>
  <c r="O35" i="9"/>
  <c r="P25" i="6"/>
  <c r="O25" i="5"/>
  <c r="O34" i="9"/>
  <c r="P23" i="6"/>
  <c r="O24" i="5"/>
  <c r="T15" i="4"/>
  <c r="T28" i="6"/>
  <c r="S29" i="5"/>
  <c r="O8" i="7"/>
  <c r="O21" i="9" s="1"/>
  <c r="CT11" i="1"/>
  <c r="K9" i="7"/>
  <c r="K13" i="7"/>
  <c r="K31" i="9" s="1"/>
  <c r="V19" i="6" l="1"/>
  <c r="E19" i="6" s="1"/>
  <c r="BF19" i="6"/>
  <c r="H19" i="6" s="1"/>
  <c r="BR19" i="6"/>
  <c r="I19" i="6" s="1"/>
  <c r="W23" i="7"/>
  <c r="F23" i="7" s="1"/>
  <c r="F52" i="8"/>
  <c r="W18" i="6"/>
  <c r="W19" i="6" s="1"/>
  <c r="I23" i="7"/>
  <c r="K18" i="6"/>
  <c r="K19" i="6" s="1"/>
  <c r="E52" i="8"/>
  <c r="K23" i="7"/>
  <c r="E23" i="7" s="1"/>
  <c r="K8" i="5"/>
  <c r="AU18" i="6"/>
  <c r="AU19" i="6" s="1"/>
  <c r="AU23" i="7"/>
  <c r="H23" i="7" s="1"/>
  <c r="AU8" i="5"/>
  <c r="H52" i="8"/>
  <c r="P27" i="6"/>
  <c r="O28" i="5"/>
  <c r="T8" i="1"/>
  <c r="U8" i="1"/>
  <c r="L8" i="1"/>
  <c r="M8" i="1"/>
  <c r="H8" i="1"/>
  <c r="I8" i="1"/>
  <c r="P8" i="1"/>
  <c r="Q8" i="1"/>
  <c r="AI8" i="5"/>
  <c r="AI23" i="7"/>
  <c r="G23" i="7" s="1"/>
  <c r="AI18" i="6"/>
  <c r="AI19" i="6" s="1"/>
  <c r="G52" i="8"/>
  <c r="P35" i="9"/>
  <c r="Q25" i="6"/>
  <c r="P25" i="5"/>
  <c r="P8" i="7"/>
  <c r="CU11" i="1"/>
  <c r="P34" i="9"/>
  <c r="Q23" i="6"/>
  <c r="U15" i="4"/>
  <c r="P24" i="5"/>
  <c r="U28" i="6"/>
  <c r="T29" i="5"/>
  <c r="L9" i="7"/>
  <c r="L13" i="7"/>
  <c r="K14" i="7" a="1"/>
  <c r="K14" i="7" s="1"/>
  <c r="K10" i="7"/>
  <c r="Q27" i="6" l="1"/>
  <c r="P28" i="5"/>
  <c r="P21" i="9"/>
  <c r="U29" i="5"/>
  <c r="V28" i="6"/>
  <c r="L14" i="7"/>
  <c r="L15" i="7" s="1"/>
  <c r="L22" i="7" s="1"/>
  <c r="Q7" i="4" s="1"/>
  <c r="L31" i="9"/>
  <c r="Q34" i="9"/>
  <c r="Q24" i="5"/>
  <c r="R23" i="6"/>
  <c r="V15" i="4"/>
  <c r="Q35" i="9"/>
  <c r="R25" i="6"/>
  <c r="Q25" i="5"/>
  <c r="Q8" i="7"/>
  <c r="Q21" i="9" s="1"/>
  <c r="CV11" i="1"/>
  <c r="N24" i="9"/>
  <c r="M23" i="9"/>
  <c r="O25" i="9"/>
  <c r="L22" i="9"/>
  <c r="N15" i="9"/>
  <c r="M14" i="9"/>
  <c r="O16" i="9"/>
  <c r="L13" i="9"/>
  <c r="M13" i="7"/>
  <c r="M31" i="9" s="1"/>
  <c r="M9" i="7"/>
  <c r="K15" i="7"/>
  <c r="L10" i="7"/>
  <c r="R27" i="6" l="1"/>
  <c r="Q28" i="5"/>
  <c r="R35" i="9"/>
  <c r="R25" i="5"/>
  <c r="S25" i="6"/>
  <c r="W28" i="6"/>
  <c r="V29" i="5"/>
  <c r="E29" i="5" s="1"/>
  <c r="E28" i="6"/>
  <c r="R8" i="7"/>
  <c r="R21" i="9" s="1"/>
  <c r="CW11" i="1"/>
  <c r="R34" i="9"/>
  <c r="S23" i="6"/>
  <c r="R24" i="5"/>
  <c r="W15" i="4"/>
  <c r="O24" i="9"/>
  <c r="N23" i="9"/>
  <c r="P25" i="9"/>
  <c r="M22" i="9"/>
  <c r="O15" i="9"/>
  <c r="N14" i="9"/>
  <c r="P16" i="9"/>
  <c r="M13" i="9"/>
  <c r="K22" i="7"/>
  <c r="P7" i="4" s="1"/>
  <c r="M10" i="7"/>
  <c r="M14" i="7"/>
  <c r="N13" i="7"/>
  <c r="N9" i="7"/>
  <c r="S27" i="6" l="1"/>
  <c r="R28" i="5"/>
  <c r="X28" i="6"/>
  <c r="W29" i="5"/>
  <c r="S34" i="9"/>
  <c r="T23" i="6"/>
  <c r="S24" i="5"/>
  <c r="X15" i="4"/>
  <c r="N14" i="7"/>
  <c r="N15" i="7" s="1"/>
  <c r="N22" i="7" s="1"/>
  <c r="S7" i="4" s="1"/>
  <c r="N31" i="9"/>
  <c r="S35" i="9"/>
  <c r="T25" i="6"/>
  <c r="S25" i="5"/>
  <c r="S8" i="7"/>
  <c r="S21" i="9" s="1"/>
  <c r="CX11" i="1"/>
  <c r="P15" i="9"/>
  <c r="O14" i="9"/>
  <c r="O17" i="9" s="1"/>
  <c r="Q16" i="9"/>
  <c r="N13" i="9"/>
  <c r="P24" i="9"/>
  <c r="O23" i="9"/>
  <c r="O26" i="9" s="1"/>
  <c r="Q25" i="9"/>
  <c r="N22" i="9"/>
  <c r="N10" i="7"/>
  <c r="O13" i="7"/>
  <c r="O31" i="9" s="1"/>
  <c r="M15" i="7"/>
  <c r="O9" i="7"/>
  <c r="K25" i="7"/>
  <c r="K38" i="9" s="1"/>
  <c r="T27" i="6" l="1"/>
  <c r="S28" i="5"/>
  <c r="T8" i="7"/>
  <c r="T21" i="9" s="1"/>
  <c r="CY11" i="1"/>
  <c r="T34" i="9"/>
  <c r="U23" i="6"/>
  <c r="T24" i="5"/>
  <c r="Y15" i="4"/>
  <c r="T35" i="9"/>
  <c r="U25" i="6"/>
  <c r="T25" i="5"/>
  <c r="Y28" i="6"/>
  <c r="X29" i="5"/>
  <c r="Q15" i="9"/>
  <c r="P14" i="9"/>
  <c r="P17" i="9" s="1"/>
  <c r="R16" i="9"/>
  <c r="O13" i="9"/>
  <c r="O20" i="9" s="1"/>
  <c r="Q24" i="9"/>
  <c r="R25" i="9"/>
  <c r="P23" i="9"/>
  <c r="P26" i="9" s="1"/>
  <c r="O22" i="9"/>
  <c r="P9" i="7"/>
  <c r="M22" i="7"/>
  <c r="R7" i="4" s="1"/>
  <c r="O10" i="7"/>
  <c r="O14" i="7"/>
  <c r="O15" i="7" s="1"/>
  <c r="O22" i="7" s="1"/>
  <c r="T7" i="4" s="1"/>
  <c r="K26" i="7"/>
  <c r="P13" i="7"/>
  <c r="T28" i="5" l="1"/>
  <c r="U27" i="6"/>
  <c r="U8" i="7"/>
  <c r="U21" i="9" s="1"/>
  <c r="CZ11" i="1"/>
  <c r="U34" i="9"/>
  <c r="V23" i="6"/>
  <c r="U24" i="5"/>
  <c r="Z15" i="4"/>
  <c r="K28" i="7"/>
  <c r="K6" i="5"/>
  <c r="U35" i="9"/>
  <c r="V25" i="6"/>
  <c r="U25" i="5"/>
  <c r="P14" i="7"/>
  <c r="P15" i="7" s="1"/>
  <c r="P22" i="7" s="1"/>
  <c r="U7" i="4" s="1"/>
  <c r="P31" i="9"/>
  <c r="Z28" i="6"/>
  <c r="Y29" i="5"/>
  <c r="S16" i="9"/>
  <c r="R15" i="9"/>
  <c r="Q14" i="9"/>
  <c r="Q17" i="9" s="1"/>
  <c r="P13" i="9"/>
  <c r="P20" i="9" s="1"/>
  <c r="R24" i="9"/>
  <c r="Q23" i="9"/>
  <c r="Q26" i="9" s="1"/>
  <c r="S25" i="9"/>
  <c r="P22" i="9"/>
  <c r="P10" i="7"/>
  <c r="Q9" i="7"/>
  <c r="K27" i="7"/>
  <c r="Q13" i="7"/>
  <c r="V27" i="6" l="1"/>
  <c r="U28" i="5"/>
  <c r="V34" i="9"/>
  <c r="V24" i="5"/>
  <c r="E24" i="5" s="1"/>
  <c r="AA15" i="4"/>
  <c r="E15" i="4" s="1"/>
  <c r="E23" i="6"/>
  <c r="W23" i="6"/>
  <c r="V35" i="9"/>
  <c r="E35" i="9" s="1"/>
  <c r="W25" i="6"/>
  <c r="V25" i="5"/>
  <c r="E25" i="5" s="1"/>
  <c r="E25" i="6"/>
  <c r="V8" i="7"/>
  <c r="DA11" i="1"/>
  <c r="CI11" i="1"/>
  <c r="K39" i="9"/>
  <c r="K30" i="5"/>
  <c r="Q14" i="7"/>
  <c r="Q15" i="7" s="1"/>
  <c r="Q31" i="9"/>
  <c r="Z29" i="5"/>
  <c r="AA28" i="6"/>
  <c r="S24" i="9"/>
  <c r="R23" i="9"/>
  <c r="R26" i="9" s="1"/>
  <c r="T25" i="9"/>
  <c r="Q22" i="9"/>
  <c r="S15" i="9"/>
  <c r="R14" i="9"/>
  <c r="R17" i="9" s="1"/>
  <c r="T16" i="9"/>
  <c r="Q13" i="9"/>
  <c r="Q20" i="9" s="1"/>
  <c r="Q10" i="7"/>
  <c r="K29" i="7"/>
  <c r="K29" i="6" s="1"/>
  <c r="R13" i="7"/>
  <c r="R31" i="9" s="1"/>
  <c r="R9" i="7"/>
  <c r="V28" i="5" l="1"/>
  <c r="E28" i="5" s="1"/>
  <c r="E27" i="6"/>
  <c r="W27" i="6"/>
  <c r="AB28" i="6"/>
  <c r="AA29" i="5"/>
  <c r="W34" i="9"/>
  <c r="X23" i="6"/>
  <c r="W24" i="5"/>
  <c r="AB15" i="4"/>
  <c r="W8" i="7"/>
  <c r="DB11" i="1"/>
  <c r="W35" i="9"/>
  <c r="X25" i="6"/>
  <c r="W25" i="5"/>
  <c r="E34" i="9"/>
  <c r="V21" i="9"/>
  <c r="E15" i="1"/>
  <c r="U25" i="9"/>
  <c r="T24" i="9"/>
  <c r="R22" i="9"/>
  <c r="S23" i="9"/>
  <c r="S26" i="9" s="1"/>
  <c r="U16" i="9"/>
  <c r="T15" i="9"/>
  <c r="S14" i="9"/>
  <c r="S17" i="9" s="1"/>
  <c r="R13" i="9"/>
  <c r="R20" i="9" s="1"/>
  <c r="S9" i="7"/>
  <c r="S13" i="7"/>
  <c r="R14" i="7"/>
  <c r="R15" i="7" s="1"/>
  <c r="R22" i="7" s="1"/>
  <c r="W7" i="4" s="1"/>
  <c r="R10" i="7"/>
  <c r="Q22" i="7"/>
  <c r="V7" i="4" s="1"/>
  <c r="X27" i="6" l="1"/>
  <c r="W28" i="5"/>
  <c r="X8" i="7"/>
  <c r="X21" i="9" s="1"/>
  <c r="DC11" i="1"/>
  <c r="W21" i="9"/>
  <c r="X34" i="9"/>
  <c r="Y23" i="6"/>
  <c r="X24" i="5"/>
  <c r="AC15" i="4"/>
  <c r="X35" i="9"/>
  <c r="Y25" i="6"/>
  <c r="X25" i="5"/>
  <c r="S14" i="7"/>
  <c r="S15" i="7" s="1"/>
  <c r="S22" i="7" s="1"/>
  <c r="X7" i="4" s="1"/>
  <c r="S31" i="9"/>
  <c r="AC28" i="6"/>
  <c r="AB29" i="5"/>
  <c r="U15" i="9"/>
  <c r="T14" i="9"/>
  <c r="T17" i="9" s="1"/>
  <c r="V16" i="9"/>
  <c r="S13" i="9"/>
  <c r="S20" i="9" s="1"/>
  <c r="U24" i="9"/>
  <c r="V25" i="9"/>
  <c r="S22" i="9"/>
  <c r="T23" i="9"/>
  <c r="T26" i="9" s="1"/>
  <c r="T9" i="7"/>
  <c r="T13" i="7"/>
  <c r="S10" i="7"/>
  <c r="Y27" i="6" l="1"/>
  <c r="X28" i="5"/>
  <c r="Y8" i="7"/>
  <c r="DD11" i="1"/>
  <c r="AC29" i="5"/>
  <c r="AD28" i="6"/>
  <c r="Y34" i="9"/>
  <c r="Y24" i="5"/>
  <c r="Z23" i="6"/>
  <c r="AD15" i="4"/>
  <c r="T14" i="7"/>
  <c r="T15" i="7" s="1"/>
  <c r="T22" i="7" s="1"/>
  <c r="Y7" i="4" s="1"/>
  <c r="T31" i="9"/>
  <c r="Y35" i="9"/>
  <c r="Z25" i="6"/>
  <c r="Y25" i="5"/>
  <c r="V24" i="9"/>
  <c r="U23" i="9"/>
  <c r="U26" i="9" s="1"/>
  <c r="W25" i="9"/>
  <c r="T22" i="9"/>
  <c r="V15" i="9"/>
  <c r="U14" i="9"/>
  <c r="U17" i="9" s="1"/>
  <c r="W16" i="9"/>
  <c r="T13" i="9"/>
  <c r="T20" i="9" s="1"/>
  <c r="U13" i="7"/>
  <c r="U9" i="7"/>
  <c r="T10" i="7"/>
  <c r="Y28" i="5" l="1"/>
  <c r="Z27" i="6"/>
  <c r="AE28" i="6"/>
  <c r="AD29" i="5"/>
  <c r="Z8" i="7"/>
  <c r="Z21" i="9" s="1"/>
  <c r="DE11" i="1"/>
  <c r="Z34" i="9"/>
  <c r="AA23" i="6"/>
  <c r="AE15" i="4"/>
  <c r="Z24" i="5"/>
  <c r="U14" i="7"/>
  <c r="U15" i="7" s="1"/>
  <c r="U22" i="7" s="1"/>
  <c r="Z7" i="4" s="1"/>
  <c r="U31" i="9"/>
  <c r="Z35" i="9"/>
  <c r="Z25" i="5"/>
  <c r="AA25" i="6"/>
  <c r="Y21" i="9"/>
  <c r="W24" i="9"/>
  <c r="V23" i="9"/>
  <c r="V26" i="9" s="1"/>
  <c r="X25" i="9"/>
  <c r="U22" i="9"/>
  <c r="W15" i="9"/>
  <c r="V14" i="9"/>
  <c r="V17" i="9" s="1"/>
  <c r="X16" i="9"/>
  <c r="U13" i="9"/>
  <c r="U20" i="9" s="1"/>
  <c r="U10" i="7"/>
  <c r="V13" i="7"/>
  <c r="V31" i="9" s="1"/>
  <c r="E7" i="7"/>
  <c r="AO13" i="10" s="1"/>
  <c r="E8" i="7"/>
  <c r="AO14" i="10" s="1"/>
  <c r="AA27" i="6" l="1"/>
  <c r="Z28" i="5"/>
  <c r="AA8" i="7"/>
  <c r="AA21" i="9" s="1"/>
  <c r="DF11" i="1"/>
  <c r="AF28" i="6"/>
  <c r="AE29" i="5"/>
  <c r="AA35" i="9"/>
  <c r="AB25" i="6"/>
  <c r="AA25" i="5"/>
  <c r="AA34" i="9"/>
  <c r="AB23" i="6"/>
  <c r="AA24" i="5"/>
  <c r="AF15" i="4"/>
  <c r="X24" i="9"/>
  <c r="W23" i="9"/>
  <c r="Y25" i="9"/>
  <c r="V22" i="9"/>
  <c r="X15" i="9"/>
  <c r="W14" i="9"/>
  <c r="Y16" i="9"/>
  <c r="V13" i="9"/>
  <c r="V20" i="9" s="1"/>
  <c r="W13" i="7"/>
  <c r="W31" i="9" s="1"/>
  <c r="V9" i="7"/>
  <c r="V14" i="7"/>
  <c r="E14" i="7" s="1"/>
  <c r="E13" i="7"/>
  <c r="AB27" i="6" l="1"/>
  <c r="AA28" i="5"/>
  <c r="AG28" i="6"/>
  <c r="AF29" i="5"/>
  <c r="AB34" i="9"/>
  <c r="AC23" i="6"/>
  <c r="AB24" i="5"/>
  <c r="AG15" i="4"/>
  <c r="AB35" i="9"/>
  <c r="AC25" i="6"/>
  <c r="AB25" i="5"/>
  <c r="AB8" i="7"/>
  <c r="DG11" i="1"/>
  <c r="W26" i="9"/>
  <c r="Y24" i="9"/>
  <c r="X23" i="9"/>
  <c r="X26" i="9" s="1"/>
  <c r="Z25" i="9"/>
  <c r="W22" i="9"/>
  <c r="Y15" i="9"/>
  <c r="X14" i="9"/>
  <c r="X17" i="9" s="1"/>
  <c r="Z16" i="9"/>
  <c r="W13" i="9"/>
  <c r="W17" i="9"/>
  <c r="X9" i="7"/>
  <c r="W9" i="7"/>
  <c r="X13" i="7"/>
  <c r="V15" i="7"/>
  <c r="V10" i="7"/>
  <c r="E9" i="7"/>
  <c r="E10" i="7" s="1"/>
  <c r="W14" i="7"/>
  <c r="AB28" i="5" l="1"/>
  <c r="AC27" i="6"/>
  <c r="AB21" i="9"/>
  <c r="AC34" i="9"/>
  <c r="AD23" i="6"/>
  <c r="AC24" i="5"/>
  <c r="AH15" i="4"/>
  <c r="X14" i="7"/>
  <c r="X15" i="7" s="1"/>
  <c r="X22" i="7" s="1"/>
  <c r="AC7" i="4" s="1"/>
  <c r="X31" i="9"/>
  <c r="AC35" i="9"/>
  <c r="AD25" i="6"/>
  <c r="AC25" i="5"/>
  <c r="AH28" i="6"/>
  <c r="AG29" i="5"/>
  <c r="AC8" i="7"/>
  <c r="AC21" i="9" s="1"/>
  <c r="DH11" i="1"/>
  <c r="Z24" i="9"/>
  <c r="Y23" i="9"/>
  <c r="Y26" i="9" s="1"/>
  <c r="AA25" i="9"/>
  <c r="X22" i="9"/>
  <c r="W20" i="9"/>
  <c r="AA16" i="9"/>
  <c r="Z15" i="9"/>
  <c r="Y14" i="9"/>
  <c r="Y17" i="9" s="1"/>
  <c r="X13" i="9"/>
  <c r="X20" i="9" s="1"/>
  <c r="W15" i="7"/>
  <c r="W10" i="7"/>
  <c r="Y9" i="7"/>
  <c r="V22" i="7"/>
  <c r="AA7" i="4" s="1"/>
  <c r="E15" i="7"/>
  <c r="Y13" i="7"/>
  <c r="X10" i="7"/>
  <c r="AD27" i="6" l="1"/>
  <c r="AC28" i="5"/>
  <c r="AD34" i="9"/>
  <c r="AD24" i="5"/>
  <c r="AI15" i="4"/>
  <c r="AE23" i="6"/>
  <c r="AD35" i="9"/>
  <c r="AE25" i="6"/>
  <c r="AD25" i="5"/>
  <c r="AD8" i="7"/>
  <c r="DI11" i="1"/>
  <c r="AH29" i="5"/>
  <c r="F29" i="5" s="1"/>
  <c r="AI28" i="6"/>
  <c r="F28" i="6"/>
  <c r="Y14" i="7"/>
  <c r="Y15" i="7" s="1"/>
  <c r="Y22" i="7" s="1"/>
  <c r="AD7" i="4" s="1"/>
  <c r="Y31" i="9"/>
  <c r="AA15" i="9"/>
  <c r="Z14" i="9"/>
  <c r="Z17" i="9" s="1"/>
  <c r="AB16" i="9"/>
  <c r="Y13" i="9"/>
  <c r="AA24" i="9"/>
  <c r="Z23" i="9"/>
  <c r="Z26" i="9" s="1"/>
  <c r="AB25" i="9"/>
  <c r="Y22" i="9"/>
  <c r="Y10" i="7"/>
  <c r="Z9" i="7"/>
  <c r="Z13" i="7"/>
  <c r="W22" i="7"/>
  <c r="AB7" i="4" s="1"/>
  <c r="E22" i="7"/>
  <c r="AD28" i="5" l="1"/>
  <c r="AE27" i="6"/>
  <c r="AE35" i="9"/>
  <c r="AF25" i="6"/>
  <c r="AE25" i="5"/>
  <c r="AE34" i="9"/>
  <c r="AF23" i="6"/>
  <c r="AE24" i="5"/>
  <c r="AJ15" i="4"/>
  <c r="AE8" i="7"/>
  <c r="AE21" i="9" s="1"/>
  <c r="DJ11" i="1"/>
  <c r="AD21" i="9"/>
  <c r="Z14" i="7"/>
  <c r="Z15" i="7" s="1"/>
  <c r="Z31" i="9"/>
  <c r="AJ28" i="6"/>
  <c r="AI29" i="5"/>
  <c r="Y20" i="9"/>
  <c r="AC16" i="9"/>
  <c r="Z13" i="9"/>
  <c r="Z20" i="9" s="1"/>
  <c r="AB15" i="9"/>
  <c r="AA14" i="9"/>
  <c r="AC25" i="9"/>
  <c r="AB24" i="9"/>
  <c r="Z22" i="9"/>
  <c r="AA23" i="9"/>
  <c r="AA26" i="9" s="1"/>
  <c r="Z10" i="7"/>
  <c r="AA9" i="7"/>
  <c r="AA13" i="7"/>
  <c r="AA31" i="9" s="1"/>
  <c r="AF27" i="6" l="1"/>
  <c r="AE28" i="5"/>
  <c r="AF34" i="9"/>
  <c r="AG23" i="6"/>
  <c r="AK15" i="4"/>
  <c r="AF24" i="5"/>
  <c r="AK28" i="6"/>
  <c r="AJ29" i="5"/>
  <c r="AF35" i="9"/>
  <c r="AG25" i="6"/>
  <c r="AF25" i="5"/>
  <c r="AF8" i="7"/>
  <c r="AF21" i="9" s="1"/>
  <c r="DK11" i="1"/>
  <c r="AC15" i="9"/>
  <c r="AB14" i="9"/>
  <c r="AB17" i="9" s="1"/>
  <c r="AA13" i="9"/>
  <c r="AD16" i="9"/>
  <c r="AC24" i="9"/>
  <c r="AD25" i="9"/>
  <c r="AA22" i="9"/>
  <c r="AB23" i="9"/>
  <c r="AB26" i="9" s="1"/>
  <c r="AA17" i="9"/>
  <c r="AA14" i="7"/>
  <c r="AA15" i="7" s="1"/>
  <c r="AA22" i="7" s="1"/>
  <c r="AF7" i="4" s="1"/>
  <c r="AA10" i="7"/>
  <c r="Z22" i="7"/>
  <c r="AE7" i="4" s="1"/>
  <c r="AB9" i="7"/>
  <c r="AB13" i="7"/>
  <c r="AG27" i="6" l="1"/>
  <c r="AF28" i="5"/>
  <c r="AG8" i="7"/>
  <c r="AG21" i="9" s="1"/>
  <c r="DL11" i="1"/>
  <c r="AK29" i="5"/>
  <c r="AL28" i="6"/>
  <c r="AB14" i="7"/>
  <c r="AB15" i="7" s="1"/>
  <c r="AB31" i="9"/>
  <c r="AG34" i="9"/>
  <c r="AG24" i="5"/>
  <c r="AH23" i="6"/>
  <c r="AL15" i="4"/>
  <c r="AG35" i="9"/>
  <c r="AH25" i="6"/>
  <c r="AG25" i="5"/>
  <c r="AD24" i="9"/>
  <c r="AC23" i="9"/>
  <c r="AC26" i="9" s="1"/>
  <c r="AE25" i="9"/>
  <c r="AB22" i="9"/>
  <c r="AD15" i="9"/>
  <c r="AC14" i="9"/>
  <c r="AC17" i="9" s="1"/>
  <c r="AE16" i="9"/>
  <c r="AB13" i="9"/>
  <c r="AB20" i="9" s="1"/>
  <c r="AA20" i="9"/>
  <c r="AC9" i="7"/>
  <c r="AC13" i="7"/>
  <c r="AB10" i="7"/>
  <c r="AG28" i="5" l="1"/>
  <c r="AH27" i="6"/>
  <c r="AM28" i="6"/>
  <c r="AL29" i="5"/>
  <c r="AH8" i="7"/>
  <c r="DM11" i="1"/>
  <c r="CJ11" i="1"/>
  <c r="AH35" i="9"/>
  <c r="F35" i="9" s="1"/>
  <c r="AH25" i="5"/>
  <c r="F25" i="5" s="1"/>
  <c r="AI25" i="6"/>
  <c r="F25" i="6"/>
  <c r="AC14" i="7"/>
  <c r="AC15" i="7" s="1"/>
  <c r="AC22" i="7" s="1"/>
  <c r="AH7" i="4" s="1"/>
  <c r="AC31" i="9"/>
  <c r="AH34" i="9"/>
  <c r="AI23" i="6"/>
  <c r="AM15" i="4"/>
  <c r="G15" i="4" s="1"/>
  <c r="AH24" i="5"/>
  <c r="F24" i="5" s="1"/>
  <c r="F23" i="6"/>
  <c r="AE15" i="9"/>
  <c r="AD14" i="9"/>
  <c r="AD17" i="9" s="1"/>
  <c r="AF16" i="9"/>
  <c r="AC13" i="9"/>
  <c r="AE24" i="9"/>
  <c r="AD23" i="9"/>
  <c r="AD26" i="9" s="1"/>
  <c r="AF25" i="9"/>
  <c r="AC22" i="9"/>
  <c r="AB22" i="7"/>
  <c r="AG7" i="4" s="1"/>
  <c r="AD13" i="7"/>
  <c r="AD9" i="7"/>
  <c r="AC10" i="7"/>
  <c r="AH28" i="5" l="1"/>
  <c r="F28" i="5" s="1"/>
  <c r="F27" i="6"/>
  <c r="AI27" i="6"/>
  <c r="AI8" i="7"/>
  <c r="DN11" i="1"/>
  <c r="AH21" i="9"/>
  <c r="G15" i="1"/>
  <c r="AI35" i="9"/>
  <c r="AJ25" i="6"/>
  <c r="AI25" i="5"/>
  <c r="F34" i="9"/>
  <c r="AN28" i="6"/>
  <c r="AM29" i="5"/>
  <c r="AD14" i="7"/>
  <c r="AD15" i="7" s="1"/>
  <c r="AD22" i="7" s="1"/>
  <c r="AI7" i="4" s="1"/>
  <c r="AD31" i="9"/>
  <c r="AI34" i="9"/>
  <c r="AJ23" i="6"/>
  <c r="AI24" i="5"/>
  <c r="AN15" i="4"/>
  <c r="AC20" i="9"/>
  <c r="AF15" i="9"/>
  <c r="AE14" i="9"/>
  <c r="AE17" i="9" s="1"/>
  <c r="AG16" i="9"/>
  <c r="AD13" i="9"/>
  <c r="AD20" i="9" s="1"/>
  <c r="AF24" i="9"/>
  <c r="AE23" i="9"/>
  <c r="AE26" i="9" s="1"/>
  <c r="AG25" i="9"/>
  <c r="AD22" i="9"/>
  <c r="AD10" i="7"/>
  <c r="AE9" i="7"/>
  <c r="AE13" i="7"/>
  <c r="AI28" i="5" l="1"/>
  <c r="AJ27" i="6"/>
  <c r="AJ35" i="9"/>
  <c r="AK25" i="6"/>
  <c r="AJ25" i="5"/>
  <c r="AO28" i="6"/>
  <c r="AN29" i="5"/>
  <c r="AJ34" i="9"/>
  <c r="AK23" i="6"/>
  <c r="AJ24" i="5"/>
  <c r="AO15" i="4"/>
  <c r="AE14" i="7"/>
  <c r="AE15" i="7" s="1"/>
  <c r="AE31" i="9"/>
  <c r="AJ8" i="7"/>
  <c r="AJ21" i="9" s="1"/>
  <c r="DO11" i="1"/>
  <c r="AI21" i="9"/>
  <c r="AG24" i="9"/>
  <c r="AF23" i="9"/>
  <c r="AF26" i="9" s="1"/>
  <c r="AH25" i="9"/>
  <c r="F25" i="9" s="1"/>
  <c r="AE22" i="9"/>
  <c r="AG15" i="9"/>
  <c r="AF14" i="9"/>
  <c r="AF17" i="9" s="1"/>
  <c r="AH16" i="9"/>
  <c r="F16" i="9" s="1"/>
  <c r="AE13" i="9"/>
  <c r="AE20" i="9" s="1"/>
  <c r="AF9" i="7"/>
  <c r="AE10" i="7"/>
  <c r="AF13" i="7"/>
  <c r="AK27" i="6" l="1"/>
  <c r="AJ28" i="5"/>
  <c r="AK34" i="9"/>
  <c r="AL23" i="6"/>
  <c r="AK24" i="5"/>
  <c r="AP15" i="4"/>
  <c r="AP28" i="6"/>
  <c r="AO29" i="5"/>
  <c r="AK35" i="9"/>
  <c r="AL25" i="6"/>
  <c r="AK25" i="5"/>
  <c r="AF14" i="7"/>
  <c r="AF15" i="7" s="1"/>
  <c r="AF22" i="7" s="1"/>
  <c r="AK7" i="4" s="1"/>
  <c r="AF31" i="9"/>
  <c r="AK8" i="7"/>
  <c r="AK21" i="9" s="1"/>
  <c r="DP11" i="1"/>
  <c r="AH24" i="9"/>
  <c r="F24" i="9" s="1"/>
  <c r="AG23" i="9"/>
  <c r="AG26" i="9" s="1"/>
  <c r="AI25" i="9"/>
  <c r="AF22" i="9"/>
  <c r="AI16" i="9"/>
  <c r="AH15" i="9"/>
  <c r="F15" i="9" s="1"/>
  <c r="AG14" i="9"/>
  <c r="AG17" i="9" s="1"/>
  <c r="AF13" i="9"/>
  <c r="AF20" i="9" s="1"/>
  <c r="AG9" i="7"/>
  <c r="AF10" i="7"/>
  <c r="AE22" i="7"/>
  <c r="AJ7" i="4" s="1"/>
  <c r="AG13" i="7"/>
  <c r="AK28" i="5" l="1"/>
  <c r="AL27" i="6"/>
  <c r="AP29" i="5"/>
  <c r="AQ28" i="6"/>
  <c r="AL8" i="7"/>
  <c r="AL21" i="9" s="1"/>
  <c r="DQ11" i="1"/>
  <c r="AL35" i="9"/>
  <c r="AM25" i="6"/>
  <c r="AL25" i="5"/>
  <c r="AL34" i="9"/>
  <c r="AL24" i="5"/>
  <c r="AQ15" i="4"/>
  <c r="AM23" i="6"/>
  <c r="AG14" i="7"/>
  <c r="AG15" i="7" s="1"/>
  <c r="AG22" i="7" s="1"/>
  <c r="AL7" i="4" s="1"/>
  <c r="AG31" i="9"/>
  <c r="AI24" i="9"/>
  <c r="AH23" i="9"/>
  <c r="AJ25" i="9"/>
  <c r="AG22" i="9"/>
  <c r="AI15" i="9"/>
  <c r="AH14" i="9"/>
  <c r="AJ16" i="9"/>
  <c r="AG13" i="9"/>
  <c r="AG20" i="9" s="1"/>
  <c r="AG10" i="7"/>
  <c r="AH13" i="7"/>
  <c r="AH31" i="9" s="1"/>
  <c r="F7" i="7"/>
  <c r="F8" i="7"/>
  <c r="AL28" i="5" l="1"/>
  <c r="AM27" i="6"/>
  <c r="AM8" i="7"/>
  <c r="AM21" i="9" s="1"/>
  <c r="DR11" i="1"/>
  <c r="AR28" i="6"/>
  <c r="AQ29" i="5"/>
  <c r="AM35" i="9"/>
  <c r="AN25" i="6"/>
  <c r="AM25" i="5"/>
  <c r="BH12" i="1"/>
  <c r="AQ14" i="10"/>
  <c r="AM34" i="9"/>
  <c r="AN23" i="6"/>
  <c r="AM24" i="5"/>
  <c r="AR15" i="4"/>
  <c r="AC46" i="3"/>
  <c r="BH15" i="1"/>
  <c r="BH11" i="1"/>
  <c r="AQ13" i="10"/>
  <c r="AK16" i="9"/>
  <c r="AJ15" i="9"/>
  <c r="AI14" i="9"/>
  <c r="AH13" i="9"/>
  <c r="F12" i="9"/>
  <c r="AH26" i="9"/>
  <c r="F26" i="9" s="1"/>
  <c r="F23" i="9"/>
  <c r="AH17" i="9"/>
  <c r="F17" i="9" s="1"/>
  <c r="F14" i="9"/>
  <c r="AK25" i="9"/>
  <c r="AI23" i="9"/>
  <c r="AH22" i="9"/>
  <c r="AJ24" i="9"/>
  <c r="F21" i="9"/>
  <c r="AH9" i="7"/>
  <c r="AI9" i="7"/>
  <c r="AH14" i="7"/>
  <c r="F14" i="7" s="1"/>
  <c r="AC44" i="3" s="1"/>
  <c r="F13" i="7"/>
  <c r="AI13" i="7"/>
  <c r="AI31" i="9" s="1"/>
  <c r="AN27" i="6" l="1"/>
  <c r="AM28" i="5"/>
  <c r="AB50" i="3"/>
  <c r="AF39" i="3" s="1"/>
  <c r="AS28" i="6"/>
  <c r="AR29" i="5"/>
  <c r="AN8" i="7"/>
  <c r="AN21" i="9" s="1"/>
  <c r="DS11" i="1"/>
  <c r="AN34" i="9"/>
  <c r="AO23" i="6"/>
  <c r="AS15" i="4"/>
  <c r="AN24" i="5"/>
  <c r="AN35" i="9"/>
  <c r="AO25" i="6"/>
  <c r="AN25" i="5"/>
  <c r="AH15" i="7"/>
  <c r="AH22" i="7" s="1"/>
  <c r="AM7" i="4" s="1"/>
  <c r="F22" i="9"/>
  <c r="AI26" i="9"/>
  <c r="AK24" i="9"/>
  <c r="AJ23" i="9"/>
  <c r="AJ26" i="9" s="1"/>
  <c r="AI22" i="9"/>
  <c r="AL25" i="9"/>
  <c r="AI17" i="9"/>
  <c r="F9" i="7"/>
  <c r="F10" i="7" s="1"/>
  <c r="AH10" i="7"/>
  <c r="AH20" i="9"/>
  <c r="F13" i="9"/>
  <c r="AK15" i="9"/>
  <c r="AJ14" i="9"/>
  <c r="AJ17" i="9" s="1"/>
  <c r="AI13" i="9"/>
  <c r="AL16" i="9"/>
  <c r="AJ13" i="7"/>
  <c r="AJ9" i="7"/>
  <c r="AI14" i="7"/>
  <c r="AI10" i="7"/>
  <c r="AO27" i="6" l="1"/>
  <c r="AN28" i="5"/>
  <c r="AF44" i="3"/>
  <c r="AF50" i="3"/>
  <c r="F15" i="7"/>
  <c r="N24" i="4" s="1"/>
  <c r="AO34" i="9"/>
  <c r="AO24" i="5"/>
  <c r="AP23" i="6"/>
  <c r="AT15" i="4"/>
  <c r="AO8" i="7"/>
  <c r="AO21" i="9" s="1"/>
  <c r="DT11" i="1"/>
  <c r="AJ14" i="7"/>
  <c r="AJ15" i="7" s="1"/>
  <c r="AJ22" i="7" s="1"/>
  <c r="AO7" i="4" s="1"/>
  <c r="AJ31" i="9"/>
  <c r="AO35" i="9"/>
  <c r="AP25" i="6"/>
  <c r="AO25" i="5"/>
  <c r="AS29" i="5"/>
  <c r="AT28" i="6"/>
  <c r="AL15" i="9"/>
  <c r="AK14" i="9"/>
  <c r="AM16" i="9"/>
  <c r="AJ13" i="9"/>
  <c r="AJ20" i="9" s="1"/>
  <c r="F20" i="9"/>
  <c r="AL24" i="9"/>
  <c r="AK23" i="9"/>
  <c r="AK26" i="9" s="1"/>
  <c r="AM25" i="9"/>
  <c r="AJ22" i="9"/>
  <c r="AI20" i="9"/>
  <c r="AJ10" i="7"/>
  <c r="AI15" i="7"/>
  <c r="AK13" i="7"/>
  <c r="AK31" i="9" s="1"/>
  <c r="F22" i="7"/>
  <c r="AO28" i="5" l="1"/>
  <c r="AP27" i="6"/>
  <c r="AV29" i="10"/>
  <c r="AP8" i="7"/>
  <c r="AP21" i="9" s="1"/>
  <c r="DU11" i="1"/>
  <c r="AP34" i="9"/>
  <c r="AQ23" i="6"/>
  <c r="AU15" i="4"/>
  <c r="AP24" i="5"/>
  <c r="AI11" i="3"/>
  <c r="K23" i="3"/>
  <c r="AU28" i="6"/>
  <c r="AT29" i="5"/>
  <c r="G29" i="5" s="1"/>
  <c r="G28" i="6"/>
  <c r="AP35" i="9"/>
  <c r="AP25" i="5"/>
  <c r="AQ25" i="6"/>
  <c r="AM15" i="9"/>
  <c r="AL14" i="9"/>
  <c r="AL17" i="9" s="1"/>
  <c r="AN16" i="9"/>
  <c r="AK13" i="9"/>
  <c r="AK17" i="9"/>
  <c r="AM24" i="9"/>
  <c r="AL23" i="9"/>
  <c r="AN25" i="9"/>
  <c r="AK22" i="9"/>
  <c r="AI22" i="7"/>
  <c r="AN7" i="4" s="1"/>
  <c r="AL13" i="7"/>
  <c r="AK9" i="7"/>
  <c r="AL9" i="7"/>
  <c r="AK14" i="7"/>
  <c r="AP28" i="5" l="1"/>
  <c r="AQ27" i="6"/>
  <c r="AQ34" i="9"/>
  <c r="AR23" i="6"/>
  <c r="AQ24" i="5"/>
  <c r="AV15" i="4"/>
  <c r="AV28" i="6"/>
  <c r="AU29" i="5"/>
  <c r="AQ8" i="7"/>
  <c r="AQ21" i="9" s="1"/>
  <c r="DV11" i="1"/>
  <c r="AL14" i="7"/>
  <c r="AL15" i="7" s="1"/>
  <c r="AL22" i="7" s="1"/>
  <c r="AQ7" i="4" s="1"/>
  <c r="AL31" i="9"/>
  <c r="AQ35" i="9"/>
  <c r="AR25" i="6"/>
  <c r="AQ25" i="5"/>
  <c r="AL26" i="9"/>
  <c r="AN24" i="9"/>
  <c r="AM23" i="9"/>
  <c r="AM26" i="9" s="1"/>
  <c r="AO25" i="9"/>
  <c r="AL22" i="9"/>
  <c r="AN15" i="9"/>
  <c r="AM14" i="9"/>
  <c r="AM17" i="9" s="1"/>
  <c r="AO16" i="9"/>
  <c r="AL13" i="9"/>
  <c r="AL20" i="9" s="1"/>
  <c r="AK20" i="9"/>
  <c r="AM13" i="7"/>
  <c r="AK15" i="7"/>
  <c r="AK10" i="7"/>
  <c r="AL10" i="7"/>
  <c r="AM9" i="7"/>
  <c r="AR27" i="6" l="1"/>
  <c r="AQ28" i="5"/>
  <c r="AW28" i="6"/>
  <c r="AV29" i="5"/>
  <c r="DW11" i="1"/>
  <c r="AR8" i="7"/>
  <c r="AR21" i="9" s="1"/>
  <c r="AR34" i="9"/>
  <c r="AS23" i="6"/>
  <c r="AR24" i="5"/>
  <c r="AW15" i="4"/>
  <c r="AR35" i="9"/>
  <c r="AS25" i="6"/>
  <c r="AR25" i="5"/>
  <c r="AM14" i="7"/>
  <c r="AM15" i="7" s="1"/>
  <c r="AM22" i="7" s="1"/>
  <c r="AR7" i="4" s="1"/>
  <c r="AM31" i="9"/>
  <c r="AO15" i="9"/>
  <c r="AN14" i="9"/>
  <c r="AN17" i="9" s="1"/>
  <c r="AP16" i="9"/>
  <c r="AM13" i="9"/>
  <c r="AO24" i="9"/>
  <c r="AN23" i="9"/>
  <c r="AN26" i="9" s="1"/>
  <c r="AP25" i="9"/>
  <c r="AM22" i="9"/>
  <c r="AM10" i="7"/>
  <c r="AK22" i="7"/>
  <c r="AP7" i="4" s="1"/>
  <c r="AN13" i="7"/>
  <c r="AN31" i="9" s="1"/>
  <c r="AN9" i="7"/>
  <c r="AS27" i="6" l="1"/>
  <c r="AR28" i="5"/>
  <c r="AS8" i="7"/>
  <c r="AS21" i="9" s="1"/>
  <c r="DX11" i="1"/>
  <c r="AS34" i="9"/>
  <c r="AT23" i="6"/>
  <c r="AS24" i="5"/>
  <c r="AX15" i="4"/>
  <c r="AS35" i="9"/>
  <c r="AT25" i="6"/>
  <c r="AS25" i="5"/>
  <c r="AX28" i="6"/>
  <c r="AW29" i="5"/>
  <c r="AM20" i="9"/>
  <c r="AP24" i="9"/>
  <c r="AO23" i="9"/>
  <c r="AO26" i="9" s="1"/>
  <c r="AQ25" i="9"/>
  <c r="AN22" i="9"/>
  <c r="AQ16" i="9"/>
  <c r="AP15" i="9"/>
  <c r="AO14" i="9"/>
  <c r="AO17" i="9" s="1"/>
  <c r="AN13" i="9"/>
  <c r="AN20" i="9" s="1"/>
  <c r="AN10" i="7"/>
  <c r="AN14" i="7"/>
  <c r="AO9" i="7"/>
  <c r="AO13" i="7"/>
  <c r="AS28" i="5" l="1"/>
  <c r="AT27" i="6"/>
  <c r="AT34" i="9"/>
  <c r="AT24" i="5"/>
  <c r="G24" i="5" s="1"/>
  <c r="AY15" i="4"/>
  <c r="I15" i="4" s="1"/>
  <c r="AU23" i="6"/>
  <c r="G23" i="6"/>
  <c r="AT8" i="7"/>
  <c r="DY11" i="1"/>
  <c r="CK11" i="1"/>
  <c r="AT35" i="9"/>
  <c r="G35" i="9" s="1"/>
  <c r="AU25" i="6"/>
  <c r="AT25" i="5"/>
  <c r="G25" i="5" s="1"/>
  <c r="G25" i="6"/>
  <c r="AX29" i="5"/>
  <c r="AY28" i="6"/>
  <c r="AO14" i="7"/>
  <c r="AO15" i="7" s="1"/>
  <c r="AO22" i="7" s="1"/>
  <c r="AT7" i="4" s="1"/>
  <c r="AO31" i="9"/>
  <c r="AQ15" i="9"/>
  <c r="AP14" i="9"/>
  <c r="AP17" i="9" s="1"/>
  <c r="AR16" i="9"/>
  <c r="AO13" i="9"/>
  <c r="AO20" i="9" s="1"/>
  <c r="AQ24" i="9"/>
  <c r="AP23" i="9"/>
  <c r="AP26" i="9" s="1"/>
  <c r="AR25" i="9"/>
  <c r="AO22" i="9"/>
  <c r="AO10" i="7"/>
  <c r="AP13" i="7"/>
  <c r="AP31" i="9" s="1"/>
  <c r="AP9" i="7"/>
  <c r="AN15" i="7"/>
  <c r="G27" i="6" l="1"/>
  <c r="AT28" i="5"/>
  <c r="G28" i="5" s="1"/>
  <c r="AU27" i="6"/>
  <c r="AU8" i="7"/>
  <c r="DZ11" i="1"/>
  <c r="AU34" i="9"/>
  <c r="AV23" i="6"/>
  <c r="AU24" i="5"/>
  <c r="AZ15" i="4"/>
  <c r="AT21" i="9"/>
  <c r="K15" i="1"/>
  <c r="AZ28" i="6"/>
  <c r="AY29" i="5"/>
  <c r="AU35" i="9"/>
  <c r="AV25" i="6"/>
  <c r="AU25" i="5"/>
  <c r="G34" i="9"/>
  <c r="AS16" i="9"/>
  <c r="AR15" i="9"/>
  <c r="AQ14" i="9"/>
  <c r="AQ17" i="9" s="1"/>
  <c r="AP13" i="9"/>
  <c r="AP20" i="9" s="1"/>
  <c r="AS25" i="9"/>
  <c r="AQ23" i="9"/>
  <c r="AQ26" i="9" s="1"/>
  <c r="AP22" i="9"/>
  <c r="AR24" i="9"/>
  <c r="AP10" i="7"/>
  <c r="AQ9" i="7"/>
  <c r="AQ13" i="7"/>
  <c r="AN22" i="7"/>
  <c r="AS7" i="4" s="1"/>
  <c r="AP14" i="7"/>
  <c r="AP15" i="7" s="1"/>
  <c r="AV27" i="6" l="1"/>
  <c r="AU28" i="5"/>
  <c r="AQ14" i="7"/>
  <c r="AQ15" i="7" s="1"/>
  <c r="AQ22" i="7" s="1"/>
  <c r="AV7" i="4" s="1"/>
  <c r="AQ31" i="9"/>
  <c r="AV34" i="9"/>
  <c r="AW23" i="6"/>
  <c r="BA15" i="4"/>
  <c r="AV24" i="5"/>
  <c r="AV8" i="7"/>
  <c r="AV21" i="9" s="1"/>
  <c r="EA11" i="1"/>
  <c r="AV35" i="9"/>
  <c r="AW25" i="6"/>
  <c r="AV25" i="5"/>
  <c r="BA28" i="6"/>
  <c r="AZ29" i="5"/>
  <c r="AU21" i="9"/>
  <c r="AS15" i="9"/>
  <c r="AR14" i="9"/>
  <c r="AR17" i="9" s="1"/>
  <c r="AT16" i="9"/>
  <c r="G16" i="9" s="1"/>
  <c r="AQ13" i="9"/>
  <c r="AQ20" i="9" s="1"/>
  <c r="AS24" i="9"/>
  <c r="AR23" i="9"/>
  <c r="AR26" i="9" s="1"/>
  <c r="AQ22" i="9"/>
  <c r="AT25" i="9"/>
  <c r="G25" i="9" s="1"/>
  <c r="AP22" i="7"/>
  <c r="AU7" i="4" s="1"/>
  <c r="AR13" i="7"/>
  <c r="AR9" i="7"/>
  <c r="AQ10" i="7"/>
  <c r="AW27" i="6" l="1"/>
  <c r="AV28" i="5"/>
  <c r="AR14" i="7"/>
  <c r="AR15" i="7" s="1"/>
  <c r="AR22" i="7" s="1"/>
  <c r="AW7" i="4" s="1"/>
  <c r="AR31" i="9"/>
  <c r="AW34" i="9"/>
  <c r="AW24" i="5"/>
  <c r="AX23" i="6"/>
  <c r="BB15" i="4"/>
  <c r="AW8" i="7"/>
  <c r="EB11" i="1"/>
  <c r="BA29" i="5"/>
  <c r="BB28" i="6"/>
  <c r="AW35" i="9"/>
  <c r="AX25" i="6"/>
  <c r="AW25" i="5"/>
  <c r="AT24" i="9"/>
  <c r="G24" i="9" s="1"/>
  <c r="AS23" i="9"/>
  <c r="AS26" i="9" s="1"/>
  <c r="AU25" i="9"/>
  <c r="AR22" i="9"/>
  <c r="AT15" i="9"/>
  <c r="G15" i="9" s="1"/>
  <c r="AS14" i="9"/>
  <c r="AS17" i="9" s="1"/>
  <c r="AU16" i="9"/>
  <c r="AR13" i="9"/>
  <c r="AR20" i="9" s="1"/>
  <c r="AR10" i="7"/>
  <c r="AS13" i="7"/>
  <c r="AS9" i="7"/>
  <c r="AX27" i="6" l="1"/>
  <c r="AW28" i="5"/>
  <c r="AS14" i="7"/>
  <c r="AS15" i="7" s="1"/>
  <c r="AS22" i="7" s="1"/>
  <c r="AX7" i="4" s="1"/>
  <c r="AS31" i="9"/>
  <c r="AX34" i="9"/>
  <c r="AY23" i="6"/>
  <c r="AX24" i="5"/>
  <c r="BC15" i="4"/>
  <c r="AW21" i="9"/>
  <c r="AX35" i="9"/>
  <c r="AX25" i="5"/>
  <c r="AY25" i="6"/>
  <c r="AX8" i="7"/>
  <c r="AX21" i="9" s="1"/>
  <c r="EC11" i="1"/>
  <c r="BC28" i="6"/>
  <c r="BB29" i="5"/>
  <c r="AU15" i="9"/>
  <c r="AT14" i="9"/>
  <c r="AV16" i="9"/>
  <c r="AS13" i="9"/>
  <c r="AS20" i="9" s="1"/>
  <c r="AU24" i="9"/>
  <c r="AT23" i="9"/>
  <c r="AV25" i="9"/>
  <c r="AS22" i="9"/>
  <c r="AS10" i="7"/>
  <c r="AT13" i="7"/>
  <c r="AT31" i="9" s="1"/>
  <c r="G7" i="7"/>
  <c r="AS13" i="10" s="1"/>
  <c r="G8" i="7"/>
  <c r="AS14" i="10" s="1"/>
  <c r="AY27" i="6" l="1"/>
  <c r="AX28" i="5"/>
  <c r="AY34" i="9"/>
  <c r="AZ23" i="6"/>
  <c r="AY24" i="5"/>
  <c r="BD15" i="4"/>
  <c r="BD28" i="6"/>
  <c r="BC29" i="5"/>
  <c r="AY8" i="7"/>
  <c r="ED11" i="1"/>
  <c r="AY35" i="9"/>
  <c r="AZ25" i="6"/>
  <c r="AY25" i="5"/>
  <c r="AT26" i="9"/>
  <c r="G26" i="9" s="1"/>
  <c r="G23" i="9"/>
  <c r="M14" i="1"/>
  <c r="AT17" i="9"/>
  <c r="G17" i="9" s="1"/>
  <c r="G14" i="9"/>
  <c r="L15" i="1"/>
  <c r="AU9" i="7"/>
  <c r="AT14" i="7"/>
  <c r="G14" i="7" s="1"/>
  <c r="G13" i="7"/>
  <c r="AU13" i="7"/>
  <c r="AU31" i="9" s="1"/>
  <c r="AT9" i="7"/>
  <c r="AZ27" i="6" l="1"/>
  <c r="AY28" i="5"/>
  <c r="AZ35" i="9"/>
  <c r="BA25" i="6"/>
  <c r="AZ25" i="5"/>
  <c r="BE28" i="6"/>
  <c r="BD29" i="5"/>
  <c r="AZ34" i="9"/>
  <c r="BA23" i="6"/>
  <c r="AZ24" i="5"/>
  <c r="BE15" i="4"/>
  <c r="AZ8" i="7"/>
  <c r="AZ21" i="9" s="1"/>
  <c r="EE11" i="1"/>
  <c r="AY21" i="9"/>
  <c r="M15" i="1"/>
  <c r="AW24" i="9"/>
  <c r="AV23" i="9"/>
  <c r="AX25" i="9"/>
  <c r="AU22" i="9"/>
  <c r="AV24" i="9"/>
  <c r="AU23" i="9"/>
  <c r="AW25" i="9"/>
  <c r="AT22" i="9"/>
  <c r="G21" i="9"/>
  <c r="AW15" i="9"/>
  <c r="AV14" i="9"/>
  <c r="AX16" i="9"/>
  <c r="AU13" i="9"/>
  <c r="L14" i="1"/>
  <c r="AV15" i="9"/>
  <c r="AU14" i="9"/>
  <c r="AW16" i="9"/>
  <c r="AT13" i="9"/>
  <c r="G12" i="9"/>
  <c r="AU14" i="7"/>
  <c r="AU15" i="7" s="1"/>
  <c r="AT15" i="7"/>
  <c r="AT10" i="7"/>
  <c r="G9" i="7"/>
  <c r="G10" i="7" s="1"/>
  <c r="AU10" i="7"/>
  <c r="AV9" i="7"/>
  <c r="AV13" i="7"/>
  <c r="BA27" i="6" l="1"/>
  <c r="AZ28" i="5"/>
  <c r="BF28" i="6"/>
  <c r="BE29" i="5"/>
  <c r="BA8" i="7"/>
  <c r="EF11" i="1"/>
  <c r="BA35" i="9"/>
  <c r="BB25" i="6"/>
  <c r="BA25" i="5"/>
  <c r="AV14" i="7"/>
  <c r="AV15" i="7" s="1"/>
  <c r="AV22" i="7" s="1"/>
  <c r="BA7" i="4" s="1"/>
  <c r="AV31" i="9"/>
  <c r="BA34" i="9"/>
  <c r="BB23" i="6"/>
  <c r="BA24" i="5"/>
  <c r="BF15" i="4"/>
  <c r="AV17" i="9"/>
  <c r="AU26" i="9"/>
  <c r="AX24" i="9"/>
  <c r="AW23" i="9"/>
  <c r="AW26" i="9" s="1"/>
  <c r="AY25" i="9"/>
  <c r="AV22" i="9"/>
  <c r="AT20" i="9"/>
  <c r="G13" i="9"/>
  <c r="AU17" i="9"/>
  <c r="AU20" i="9" s="1"/>
  <c r="AV26" i="9"/>
  <c r="AY16" i="9"/>
  <c r="AV13" i="9"/>
  <c r="AX15" i="9"/>
  <c r="AW14" i="9"/>
  <c r="AW17" i="9" s="1"/>
  <c r="G22" i="9"/>
  <c r="AU22" i="7"/>
  <c r="AZ7" i="4" s="1"/>
  <c r="AV10" i="7"/>
  <c r="AT22" i="7"/>
  <c r="AY7" i="4" s="1"/>
  <c r="G15" i="7"/>
  <c r="AW13" i="7"/>
  <c r="BA28" i="5" l="1"/>
  <c r="BB27" i="6"/>
  <c r="BA21" i="9"/>
  <c r="AW14" i="7"/>
  <c r="AW31" i="9"/>
  <c r="BF29" i="5"/>
  <c r="H29" i="5" s="1"/>
  <c r="BG28" i="6"/>
  <c r="H28" i="6"/>
  <c r="BB34" i="9"/>
  <c r="BB24" i="5"/>
  <c r="BG15" i="4"/>
  <c r="BC23" i="6"/>
  <c r="BB8" i="7"/>
  <c r="BB21" i="9" s="1"/>
  <c r="EG11" i="1"/>
  <c r="BB35" i="9"/>
  <c r="BC25" i="6"/>
  <c r="BB25" i="5"/>
  <c r="AV20" i="9"/>
  <c r="G20" i="9"/>
  <c r="AY24" i="9"/>
  <c r="AX23" i="9"/>
  <c r="AZ25" i="9"/>
  <c r="AW22" i="9"/>
  <c r="AY15" i="9"/>
  <c r="AX14" i="9"/>
  <c r="AX17" i="9" s="1"/>
  <c r="AZ16" i="9"/>
  <c r="AW13" i="9"/>
  <c r="AW20" i="9" s="1"/>
  <c r="G22" i="7"/>
  <c r="AX9" i="7"/>
  <c r="AW9" i="7"/>
  <c r="AX13" i="7"/>
  <c r="AX31" i="9" s="1"/>
  <c r="BB28" i="5" l="1"/>
  <c r="BC27" i="6"/>
  <c r="BC35" i="9"/>
  <c r="BD25" i="6"/>
  <c r="BC25" i="5"/>
  <c r="BC8" i="7"/>
  <c r="BC21" i="9" s="1"/>
  <c r="EH11" i="1"/>
  <c r="BC34" i="9"/>
  <c r="BD23" i="6"/>
  <c r="BC24" i="5"/>
  <c r="BH15" i="4"/>
  <c r="BH28" i="6"/>
  <c r="BG29" i="5"/>
  <c r="BA16" i="9"/>
  <c r="AZ15" i="9"/>
  <c r="AY14" i="9"/>
  <c r="AY17" i="9" s="1"/>
  <c r="AX13" i="9"/>
  <c r="AX20" i="9" s="1"/>
  <c r="BA25" i="9"/>
  <c r="AX22" i="9"/>
  <c r="AZ24" i="9"/>
  <c r="AY23" i="9"/>
  <c r="AY26" i="9" s="1"/>
  <c r="AX26" i="9"/>
  <c r="AX10" i="7"/>
  <c r="AX14" i="7"/>
  <c r="AY13" i="7"/>
  <c r="AY9" i="7"/>
  <c r="AW10" i="7"/>
  <c r="AW15" i="7"/>
  <c r="BD27" i="6" l="1"/>
  <c r="BC28" i="5"/>
  <c r="BD8" i="7"/>
  <c r="BD21" i="9" s="1"/>
  <c r="EI11" i="1"/>
  <c r="BD35" i="9"/>
  <c r="BE25" i="6"/>
  <c r="BD25" i="5"/>
  <c r="BD34" i="9"/>
  <c r="BE23" i="6"/>
  <c r="BD24" i="5"/>
  <c r="BI15" i="4"/>
  <c r="BI28" i="6"/>
  <c r="BH29" i="5"/>
  <c r="AY14" i="7"/>
  <c r="AY15" i="7" s="1"/>
  <c r="AY22" i="7" s="1"/>
  <c r="BD7" i="4" s="1"/>
  <c r="AY31" i="9"/>
  <c r="BA15" i="9"/>
  <c r="AZ14" i="9"/>
  <c r="AZ17" i="9" s="1"/>
  <c r="BB16" i="9"/>
  <c r="AY13" i="9"/>
  <c r="BA24" i="9"/>
  <c r="AY22" i="9"/>
  <c r="BB25" i="9"/>
  <c r="AZ23" i="9"/>
  <c r="AZ26" i="9" s="1"/>
  <c r="AY10" i="7"/>
  <c r="AW22" i="7"/>
  <c r="BB7" i="4" s="1"/>
  <c r="AZ13" i="7"/>
  <c r="AZ9" i="7"/>
  <c r="AX15" i="7"/>
  <c r="AX22" i="7" s="1"/>
  <c r="BC7" i="4" s="1"/>
  <c r="BE27" i="6" l="1"/>
  <c r="BD28" i="5"/>
  <c r="BE35" i="9"/>
  <c r="BF25" i="6"/>
  <c r="BE25" i="5"/>
  <c r="BI29" i="5"/>
  <c r="BJ28" i="6"/>
  <c r="BE8" i="7"/>
  <c r="BE21" i="9" s="1"/>
  <c r="EJ11" i="1"/>
  <c r="BE34" i="9"/>
  <c r="BE24" i="5"/>
  <c r="BJ15" i="4"/>
  <c r="BF23" i="6"/>
  <c r="AZ14" i="7"/>
  <c r="AZ15" i="7" s="1"/>
  <c r="AZ22" i="7" s="1"/>
  <c r="BE7" i="4" s="1"/>
  <c r="AZ31" i="9"/>
  <c r="AY20" i="9"/>
  <c r="BB15" i="9"/>
  <c r="BA14" i="9"/>
  <c r="BA17" i="9" s="1"/>
  <c r="BC16" i="9"/>
  <c r="AZ13" i="9"/>
  <c r="AZ20" i="9" s="1"/>
  <c r="BB24" i="9"/>
  <c r="BA23" i="9"/>
  <c r="BC25" i="9"/>
  <c r="AZ22" i="9"/>
  <c r="BA13" i="7"/>
  <c r="BA31" i="9" s="1"/>
  <c r="AZ10" i="7"/>
  <c r="BA9" i="7"/>
  <c r="BF27" i="6" l="1"/>
  <c r="BE28" i="5"/>
  <c r="BF34" i="9"/>
  <c r="BG23" i="6"/>
  <c r="BF24" i="5"/>
  <c r="H24" i="5" s="1"/>
  <c r="BK15" i="4"/>
  <c r="K15" i="4" s="1"/>
  <c r="H23" i="6"/>
  <c r="BF35" i="9"/>
  <c r="H35" i="9" s="1"/>
  <c r="BF25" i="5"/>
  <c r="H25" i="5" s="1"/>
  <c r="BG25" i="6"/>
  <c r="H25" i="6"/>
  <c r="BK28" i="6"/>
  <c r="BJ29" i="5"/>
  <c r="BF8" i="7"/>
  <c r="EK11" i="1"/>
  <c r="CL11" i="1"/>
  <c r="BC15" i="9"/>
  <c r="BB14" i="9"/>
  <c r="BB17" i="9" s="1"/>
  <c r="BD16" i="9"/>
  <c r="BA13" i="9"/>
  <c r="BA20" i="9" s="1"/>
  <c r="BC24" i="9"/>
  <c r="BB23" i="9"/>
  <c r="BB26" i="9" s="1"/>
  <c r="BD25" i="9"/>
  <c r="BA22" i="9"/>
  <c r="BA26" i="9"/>
  <c r="BA10" i="7"/>
  <c r="BB13" i="7"/>
  <c r="BB9" i="7"/>
  <c r="BA14" i="7"/>
  <c r="BA15" i="7" s="1"/>
  <c r="BG27" i="6" l="1"/>
  <c r="BF28" i="5"/>
  <c r="H28" i="5" s="1"/>
  <c r="H27" i="6"/>
  <c r="BB14" i="7"/>
  <c r="BB15" i="7" s="1"/>
  <c r="BB22" i="7" s="1"/>
  <c r="BG7" i="4" s="1"/>
  <c r="BB31" i="9"/>
  <c r="BF21" i="9"/>
  <c r="O15" i="1"/>
  <c r="BL28" i="6"/>
  <c r="BK29" i="5"/>
  <c r="BH23" i="6"/>
  <c r="BG34" i="9"/>
  <c r="BG24" i="5"/>
  <c r="BL15" i="4"/>
  <c r="H34" i="9"/>
  <c r="BG8" i="7"/>
  <c r="EL11" i="1"/>
  <c r="BG35" i="9"/>
  <c r="BH25" i="6"/>
  <c r="BG25" i="5"/>
  <c r="BD15" i="9"/>
  <c r="BC14" i="9"/>
  <c r="BC17" i="9" s="1"/>
  <c r="BE16" i="9"/>
  <c r="BB13" i="9"/>
  <c r="BB20" i="9" s="1"/>
  <c r="BD24" i="9"/>
  <c r="BC23" i="9"/>
  <c r="BE25" i="9"/>
  <c r="BB22" i="9"/>
  <c r="BA22" i="7"/>
  <c r="BF7" i="4" s="1"/>
  <c r="BB10" i="7"/>
  <c r="BC9" i="7"/>
  <c r="BC13" i="7"/>
  <c r="BH27" i="6" l="1"/>
  <c r="BG28" i="5"/>
  <c r="BH34" i="9"/>
  <c r="BI23" i="6"/>
  <c r="BH24" i="5"/>
  <c r="BM15" i="4"/>
  <c r="BM28" i="6"/>
  <c r="BL29" i="5"/>
  <c r="BC14" i="7"/>
  <c r="BC15" i="7" s="1"/>
  <c r="BC22" i="7" s="1"/>
  <c r="BH7" i="4" s="1"/>
  <c r="BC31" i="9"/>
  <c r="BG21" i="9"/>
  <c r="BH35" i="9"/>
  <c r="BI25" i="6"/>
  <c r="BH25" i="5"/>
  <c r="BH8" i="7"/>
  <c r="BH21" i="9" s="1"/>
  <c r="EM11" i="1"/>
  <c r="BE15" i="9"/>
  <c r="BD14" i="9"/>
  <c r="BD17" i="9" s="1"/>
  <c r="BF16" i="9"/>
  <c r="H16" i="9" s="1"/>
  <c r="BC13" i="9"/>
  <c r="BC20" i="9" s="1"/>
  <c r="BC26" i="9"/>
  <c r="BE24" i="9"/>
  <c r="BD23" i="9"/>
  <c r="BD26" i="9" s="1"/>
  <c r="BF25" i="9"/>
  <c r="H25" i="9" s="1"/>
  <c r="BC22" i="9"/>
  <c r="BC10" i="7"/>
  <c r="BD13" i="7"/>
  <c r="BD9" i="7"/>
  <c r="BI27" i="6" l="1"/>
  <c r="BH28" i="5"/>
  <c r="BN28" i="6"/>
  <c r="BM29" i="5"/>
  <c r="BI35" i="9"/>
  <c r="BJ25" i="6"/>
  <c r="BI25" i="5"/>
  <c r="BI34" i="9"/>
  <c r="BJ23" i="6"/>
  <c r="BI24" i="5"/>
  <c r="BN15" i="4"/>
  <c r="BI8" i="7"/>
  <c r="BI21" i="9" s="1"/>
  <c r="EN11" i="1"/>
  <c r="BD14" i="7"/>
  <c r="BD15" i="7" s="1"/>
  <c r="BD22" i="7" s="1"/>
  <c r="BI7" i="4" s="1"/>
  <c r="BD31" i="9"/>
  <c r="BG16" i="9"/>
  <c r="BD13" i="9"/>
  <c r="BD20" i="9" s="1"/>
  <c r="BF15" i="9"/>
  <c r="H15" i="9" s="1"/>
  <c r="BE14" i="9"/>
  <c r="BE17" i="9" s="1"/>
  <c r="BF24" i="9"/>
  <c r="H24" i="9" s="1"/>
  <c r="BE23" i="9"/>
  <c r="BE26" i="9" s="1"/>
  <c r="BG25" i="9"/>
  <c r="BD22" i="9"/>
  <c r="BD10" i="7"/>
  <c r="BE13" i="7"/>
  <c r="BE9" i="7"/>
  <c r="BJ27" i="6" l="1"/>
  <c r="BI28" i="5"/>
  <c r="BJ8" i="7"/>
  <c r="BJ21" i="9" s="1"/>
  <c r="EO11" i="1"/>
  <c r="BE14" i="7"/>
  <c r="BE15" i="7" s="1"/>
  <c r="BE22" i="7" s="1"/>
  <c r="BJ7" i="4" s="1"/>
  <c r="BE31" i="9"/>
  <c r="BJ34" i="9"/>
  <c r="BJ24" i="5"/>
  <c r="BO15" i="4"/>
  <c r="BK23" i="6"/>
  <c r="BN29" i="5"/>
  <c r="BO28" i="6"/>
  <c r="BJ35" i="9"/>
  <c r="BK25" i="6"/>
  <c r="BJ25" i="5"/>
  <c r="BG24" i="9"/>
  <c r="BF23" i="9"/>
  <c r="BH25" i="9"/>
  <c r="BE22" i="9"/>
  <c r="BG15" i="9"/>
  <c r="BF14" i="9"/>
  <c r="BE13" i="9"/>
  <c r="BE20" i="9" s="1"/>
  <c r="BH16" i="9"/>
  <c r="BE10" i="7"/>
  <c r="H8" i="7"/>
  <c r="AU14" i="10" s="1"/>
  <c r="BF13" i="7"/>
  <c r="BF31" i="9" s="1"/>
  <c r="H7" i="7"/>
  <c r="AU13" i="10" s="1"/>
  <c r="BK27" i="6" l="1"/>
  <c r="BJ28" i="5"/>
  <c r="BP28" i="6"/>
  <c r="BO29" i="5"/>
  <c r="BK8" i="7"/>
  <c r="EP11" i="1"/>
  <c r="BL25" i="6"/>
  <c r="BK35" i="9"/>
  <c r="BK25" i="5"/>
  <c r="BK34" i="9"/>
  <c r="BL23" i="6"/>
  <c r="BK24" i="5"/>
  <c r="BP15" i="4"/>
  <c r="BF26" i="9"/>
  <c r="H26" i="9" s="1"/>
  <c r="H23" i="9"/>
  <c r="Q14" i="1"/>
  <c r="P15" i="1"/>
  <c r="BF17" i="9"/>
  <c r="H17" i="9" s="1"/>
  <c r="H14" i="9"/>
  <c r="BF9" i="7"/>
  <c r="BF10" i="7" s="1"/>
  <c r="BF14" i="7"/>
  <c r="H14" i="7" s="1"/>
  <c r="H13" i="7"/>
  <c r="BG9" i="7"/>
  <c r="BG13" i="7"/>
  <c r="BG31" i="9" s="1"/>
  <c r="Q15" i="1"/>
  <c r="BK28" i="5" l="1"/>
  <c r="BL27" i="6"/>
  <c r="BK21" i="9"/>
  <c r="BL34" i="9"/>
  <c r="BM23" i="6"/>
  <c r="BQ15" i="4"/>
  <c r="BL24" i="5"/>
  <c r="BL35" i="9"/>
  <c r="BM25" i="6"/>
  <c r="BL25" i="5"/>
  <c r="BQ28" i="6"/>
  <c r="BP29" i="5"/>
  <c r="BL8" i="7"/>
  <c r="BL21" i="9" s="1"/>
  <c r="EQ11" i="1"/>
  <c r="P14" i="1"/>
  <c r="BI24" i="9"/>
  <c r="BG22" i="9"/>
  <c r="BJ25" i="9"/>
  <c r="BH23" i="9"/>
  <c r="BI15" i="9"/>
  <c r="BH14" i="9"/>
  <c r="BG13" i="9"/>
  <c r="BJ16" i="9"/>
  <c r="BI25" i="9"/>
  <c r="BF22" i="9"/>
  <c r="BH24" i="9"/>
  <c r="BG23" i="9"/>
  <c r="H21" i="9"/>
  <c r="BI16" i="9"/>
  <c r="BF13" i="9"/>
  <c r="BH15" i="9"/>
  <c r="BG14" i="9"/>
  <c r="H12" i="9"/>
  <c r="H9" i="7"/>
  <c r="H10" i="7" s="1"/>
  <c r="BH9" i="7"/>
  <c r="BF15" i="7"/>
  <c r="BH13" i="7"/>
  <c r="BG14" i="7"/>
  <c r="BG15" i="7" s="1"/>
  <c r="BG10" i="7"/>
  <c r="BL28" i="5" l="1"/>
  <c r="BM27" i="6"/>
  <c r="BM35" i="9"/>
  <c r="BN25" i="6"/>
  <c r="BM25" i="5"/>
  <c r="BR28" i="6"/>
  <c r="BQ29" i="5"/>
  <c r="BM8" i="7"/>
  <c r="BM21" i="9" s="1"/>
  <c r="ER11" i="1"/>
  <c r="BH14" i="7"/>
  <c r="BH15" i="7" s="1"/>
  <c r="BH22" i="7" s="1"/>
  <c r="BM7" i="4" s="1"/>
  <c r="BH31" i="9"/>
  <c r="BM34" i="9"/>
  <c r="BN23" i="6"/>
  <c r="BM24" i="5"/>
  <c r="BR15" i="4"/>
  <c r="BH17" i="9"/>
  <c r="H22" i="9"/>
  <c r="BH26" i="9"/>
  <c r="BJ24" i="9"/>
  <c r="BI23" i="9"/>
  <c r="BI26" i="9" s="1"/>
  <c r="BK25" i="9"/>
  <c r="BH22" i="9"/>
  <c r="BJ15" i="9"/>
  <c r="BI14" i="9"/>
  <c r="BI17" i="9" s="1"/>
  <c r="BK16" i="9"/>
  <c r="BH13" i="9"/>
  <c r="BG26" i="9"/>
  <c r="BG17" i="9"/>
  <c r="BF20" i="9"/>
  <c r="H13" i="9"/>
  <c r="BH10" i="7"/>
  <c r="BF22" i="7"/>
  <c r="BK7" i="4" s="1"/>
  <c r="H15" i="7"/>
  <c r="BI13" i="7"/>
  <c r="BG22" i="7"/>
  <c r="BL7" i="4" s="1"/>
  <c r="BI9" i="7"/>
  <c r="BN27" i="6" l="1"/>
  <c r="BM28" i="5"/>
  <c r="BN34" i="9"/>
  <c r="BO23" i="6"/>
  <c r="BS15" i="4"/>
  <c r="BN24" i="5"/>
  <c r="BR29" i="5"/>
  <c r="I29" i="5" s="1"/>
  <c r="I28" i="6"/>
  <c r="BI14" i="7"/>
  <c r="BI15" i="7" s="1"/>
  <c r="BI31" i="9"/>
  <c r="BN8" i="7"/>
  <c r="BN21" i="9" s="1"/>
  <c r="ES11" i="1"/>
  <c r="BN35" i="9"/>
  <c r="BN25" i="5"/>
  <c r="BO25" i="6"/>
  <c r="BH20" i="9"/>
  <c r="BK15" i="9"/>
  <c r="BJ14" i="9"/>
  <c r="BJ17" i="9" s="1"/>
  <c r="BL16" i="9"/>
  <c r="BI13" i="9"/>
  <c r="BI20" i="9" s="1"/>
  <c r="BK24" i="9"/>
  <c r="BJ23" i="9"/>
  <c r="BL25" i="9"/>
  <c r="BI22" i="9"/>
  <c r="BG20" i="9"/>
  <c r="H20" i="9"/>
  <c r="BI10" i="7"/>
  <c r="H22" i="7"/>
  <c r="BJ13" i="7"/>
  <c r="BJ31" i="9" s="1"/>
  <c r="BJ9" i="7"/>
  <c r="BO27" i="6" l="1"/>
  <c r="BN28" i="5"/>
  <c r="BO35" i="9"/>
  <c r="BP25" i="6"/>
  <c r="BO25" i="5"/>
  <c r="BO8" i="7"/>
  <c r="BO21" i="9" s="1"/>
  <c r="ET11" i="1"/>
  <c r="BP23" i="6"/>
  <c r="BO34" i="9"/>
  <c r="BO24" i="5"/>
  <c r="BT15" i="4"/>
  <c r="BL15" i="9"/>
  <c r="BK14" i="9"/>
  <c r="BM16" i="9"/>
  <c r="BJ13" i="9"/>
  <c r="BL24" i="9"/>
  <c r="BK23" i="9"/>
  <c r="BK26" i="9" s="1"/>
  <c r="BM25" i="9"/>
  <c r="BJ22" i="9"/>
  <c r="BJ26" i="9"/>
  <c r="BJ10" i="7"/>
  <c r="BJ14" i="7"/>
  <c r="BI22" i="7"/>
  <c r="BN7" i="4" s="1"/>
  <c r="BK13" i="7"/>
  <c r="BP27" i="6" l="1"/>
  <c r="BO28" i="5"/>
  <c r="BP34" i="9"/>
  <c r="BQ23" i="6"/>
  <c r="BP24" i="5"/>
  <c r="BU15" i="4"/>
  <c r="BP8" i="7"/>
  <c r="BP21" i="9" s="1"/>
  <c r="EU11" i="1"/>
  <c r="BP35" i="9"/>
  <c r="BQ25" i="6"/>
  <c r="BP25" i="5"/>
  <c r="BK14" i="7"/>
  <c r="BK31" i="9"/>
  <c r="BM24" i="9"/>
  <c r="BL23" i="9"/>
  <c r="BL26" i="9" s="1"/>
  <c r="BN25" i="9"/>
  <c r="BK22" i="9"/>
  <c r="BK17" i="9"/>
  <c r="BM15" i="9"/>
  <c r="BL14" i="9"/>
  <c r="BL17" i="9" s="1"/>
  <c r="BN16" i="9"/>
  <c r="BK13" i="9"/>
  <c r="BJ20" i="9"/>
  <c r="BL13" i="7"/>
  <c r="BL31" i="9" s="1"/>
  <c r="BL9" i="7"/>
  <c r="BK9" i="7"/>
  <c r="BJ15" i="7"/>
  <c r="BQ27" i="6" l="1"/>
  <c r="BP28" i="5"/>
  <c r="BQ35" i="9"/>
  <c r="BR25" i="6"/>
  <c r="BQ25" i="5"/>
  <c r="BQ34" i="9"/>
  <c r="BR23" i="6"/>
  <c r="BQ24" i="5"/>
  <c r="BV15" i="4"/>
  <c r="BQ8" i="7"/>
  <c r="BQ21" i="9" s="1"/>
  <c r="EV11" i="1"/>
  <c r="BK20" i="9"/>
  <c r="BN24" i="9"/>
  <c r="BM23" i="9"/>
  <c r="BM26" i="9" s="1"/>
  <c r="BO25" i="9"/>
  <c r="BL22" i="9"/>
  <c r="BO16" i="9"/>
  <c r="BL13" i="9"/>
  <c r="BL20" i="9" s="1"/>
  <c r="BN15" i="9"/>
  <c r="BM14" i="9"/>
  <c r="BL10" i="7"/>
  <c r="BL14" i="7"/>
  <c r="BM9" i="7"/>
  <c r="BM13" i="7"/>
  <c r="BJ22" i="7"/>
  <c r="BO7" i="4" s="1"/>
  <c r="BK15" i="7"/>
  <c r="BK22" i="7" s="1"/>
  <c r="BP7" i="4" s="1"/>
  <c r="BK10" i="7"/>
  <c r="BR27" i="6" l="1"/>
  <c r="BQ28" i="5"/>
  <c r="BR35" i="9"/>
  <c r="I35" i="9" s="1"/>
  <c r="BR25" i="5"/>
  <c r="I25" i="5" s="1"/>
  <c r="I25" i="6"/>
  <c r="BR34" i="9"/>
  <c r="BR24" i="5"/>
  <c r="I24" i="5" s="1"/>
  <c r="BW15" i="4"/>
  <c r="M15" i="4" s="1"/>
  <c r="I23" i="6"/>
  <c r="BR8" i="7"/>
  <c r="CM11" i="1"/>
  <c r="BM14" i="7"/>
  <c r="BM15" i="7" s="1"/>
  <c r="BM22" i="7" s="1"/>
  <c r="BR7" i="4" s="1"/>
  <c r="BM31" i="9"/>
  <c r="BM17" i="9"/>
  <c r="BO24" i="9"/>
  <c r="BN23" i="9"/>
  <c r="BN26" i="9" s="1"/>
  <c r="BP25" i="9"/>
  <c r="BM22" i="9"/>
  <c r="BO15" i="9"/>
  <c r="BN14" i="9"/>
  <c r="BN17" i="9" s="1"/>
  <c r="BP16" i="9"/>
  <c r="BM13" i="9"/>
  <c r="BM10" i="7"/>
  <c r="BN13" i="7"/>
  <c r="BN9" i="7"/>
  <c r="BL15" i="7"/>
  <c r="BL22" i="7" s="1"/>
  <c r="BQ7" i="4" s="1"/>
  <c r="BR28" i="5" l="1"/>
  <c r="I28" i="5" s="1"/>
  <c r="I27" i="6"/>
  <c r="BR21" i="9"/>
  <c r="S15" i="1"/>
  <c r="I34" i="9"/>
  <c r="BN14" i="7"/>
  <c r="BN15" i="7" s="1"/>
  <c r="BN22" i="7" s="1"/>
  <c r="BS7" i="4" s="1"/>
  <c r="BN31" i="9"/>
  <c r="BQ16" i="9"/>
  <c r="BN13" i="9"/>
  <c r="BN20" i="9" s="1"/>
  <c r="BP15" i="9"/>
  <c r="BO14" i="9"/>
  <c r="BO17" i="9" s="1"/>
  <c r="BM20" i="9"/>
  <c r="BQ25" i="9"/>
  <c r="BP24" i="9"/>
  <c r="BO23" i="9"/>
  <c r="BO26" i="9" s="1"/>
  <c r="BN22" i="9"/>
  <c r="BN10" i="7"/>
  <c r="BO9" i="7"/>
  <c r="BO13" i="7"/>
  <c r="BO14" i="7" l="1"/>
  <c r="BO15" i="7" s="1"/>
  <c r="BO22" i="7" s="1"/>
  <c r="BT7" i="4" s="1"/>
  <c r="BO31" i="9"/>
  <c r="BQ24" i="9"/>
  <c r="BP23" i="9"/>
  <c r="BP26" i="9" s="1"/>
  <c r="BO22" i="9"/>
  <c r="BR25" i="9"/>
  <c r="I25" i="9" s="1"/>
  <c r="BQ15" i="9"/>
  <c r="BP14" i="9"/>
  <c r="BP17" i="9" s="1"/>
  <c r="BR16" i="9"/>
  <c r="I16" i="9" s="1"/>
  <c r="BO13" i="9"/>
  <c r="BO20" i="9" s="1"/>
  <c r="BO10" i="7"/>
  <c r="BP9" i="7"/>
  <c r="BP13" i="7"/>
  <c r="BP14" i="7" l="1"/>
  <c r="BP15" i="7" s="1"/>
  <c r="BP22" i="7" s="1"/>
  <c r="BU7" i="4" s="1"/>
  <c r="BP31" i="9"/>
  <c r="BR24" i="9"/>
  <c r="I24" i="9" s="1"/>
  <c r="BQ23" i="9"/>
  <c r="BQ26" i="9" s="1"/>
  <c r="BP22" i="9"/>
  <c r="BR15" i="9"/>
  <c r="I15" i="9" s="1"/>
  <c r="BQ14" i="9"/>
  <c r="BQ17" i="9" s="1"/>
  <c r="BP13" i="9"/>
  <c r="BP20" i="9" s="1"/>
  <c r="BP10" i="7"/>
  <c r="BQ9" i="7"/>
  <c r="BQ13" i="7"/>
  <c r="BQ14" i="7" l="1"/>
  <c r="BQ15" i="7" s="1"/>
  <c r="BQ22" i="7" s="1"/>
  <c r="BV7" i="4" s="1"/>
  <c r="BQ31" i="9"/>
  <c r="BR14" i="9"/>
  <c r="BQ13" i="9"/>
  <c r="BQ20" i="9" s="1"/>
  <c r="U15" i="1"/>
  <c r="BR23" i="9"/>
  <c r="BQ22" i="9"/>
  <c r="BQ10" i="7"/>
  <c r="I8" i="7"/>
  <c r="AW14" i="10" s="1"/>
  <c r="BR13" i="7"/>
  <c r="BR31" i="9" s="1"/>
  <c r="I7" i="7"/>
  <c r="AW13" i="10" s="1"/>
  <c r="T15" i="1" l="1"/>
  <c r="BR22" i="9"/>
  <c r="I21" i="9"/>
  <c r="BR26" i="9"/>
  <c r="I26" i="9" s="1"/>
  <c r="I23" i="9"/>
  <c r="U14" i="1"/>
  <c r="BR17" i="9"/>
  <c r="I17" i="9" s="1"/>
  <c r="I14" i="9"/>
  <c r="BR9" i="7"/>
  <c r="BR10" i="7" s="1"/>
  <c r="BR14" i="7"/>
  <c r="I14" i="7" s="1"/>
  <c r="I13" i="7"/>
  <c r="I9" i="7" l="1"/>
  <c r="I10" i="7" s="1"/>
  <c r="BR13" i="9"/>
  <c r="I12" i="9"/>
  <c r="T14" i="1"/>
  <c r="I22" i="9"/>
  <c r="BR15" i="7"/>
  <c r="BR20" i="9" l="1"/>
  <c r="I13" i="9"/>
  <c r="BR22" i="7"/>
  <c r="BW7" i="4" s="1"/>
  <c r="I15" i="7"/>
  <c r="I20" i="9" l="1"/>
  <c r="I22" i="7"/>
  <c r="M15" i="9" l="1"/>
  <c r="L14" i="9"/>
  <c r="E12" i="9"/>
  <c r="N16" i="9"/>
  <c r="K13" i="9"/>
  <c r="E16" i="9" l="1"/>
  <c r="N17" i="9"/>
  <c r="N20" i="9" s="1"/>
  <c r="E13" i="9"/>
  <c r="K20" i="9"/>
  <c r="E14" i="9"/>
  <c r="L17" i="9"/>
  <c r="K18" i="9"/>
  <c r="K7" i="6" s="1"/>
  <c r="H15" i="1"/>
  <c r="E15" i="9"/>
  <c r="M17" i="9"/>
  <c r="M20" i="9" s="1"/>
  <c r="I14" i="1"/>
  <c r="H14" i="1"/>
  <c r="R33" i="9"/>
  <c r="T33" i="9"/>
  <c r="L33" i="9"/>
  <c r="O33" i="9"/>
  <c r="S33" i="9"/>
  <c r="P33" i="9"/>
  <c r="M33" i="9"/>
  <c r="N33" i="9"/>
  <c r="Q33" i="9"/>
  <c r="K10" i="5" l="1"/>
  <c r="L18" i="9"/>
  <c r="K33" i="9"/>
  <c r="E17" i="9"/>
  <c r="L20" i="9"/>
  <c r="I15" i="1"/>
  <c r="M24" i="9"/>
  <c r="E21" i="9"/>
  <c r="L23" i="9"/>
  <c r="N25" i="9"/>
  <c r="K22" i="9"/>
  <c r="M18" i="9" l="1"/>
  <c r="L7" i="6"/>
  <c r="E25" i="9"/>
  <c r="N26" i="9"/>
  <c r="L26" i="9"/>
  <c r="E23" i="9"/>
  <c r="E22" i="9"/>
  <c r="E24" i="9"/>
  <c r="M26" i="9"/>
  <c r="K27" i="9"/>
  <c r="E20" i="9"/>
  <c r="X8" i="4"/>
  <c r="X9" i="4" s="1"/>
  <c r="W8" i="4"/>
  <c r="W9" i="4" s="1"/>
  <c r="R8" i="4"/>
  <c r="R9" i="4" s="1"/>
  <c r="U8" i="4"/>
  <c r="U9" i="4" s="1"/>
  <c r="V8" i="4"/>
  <c r="V9" i="4" s="1"/>
  <c r="Y8" i="4"/>
  <c r="Y9" i="4" s="1"/>
  <c r="S8" i="4"/>
  <c r="S9" i="4" s="1"/>
  <c r="T8" i="4"/>
  <c r="T9" i="4" s="1"/>
  <c r="Q8" i="4"/>
  <c r="Q9" i="4" s="1"/>
  <c r="BH17" i="1"/>
  <c r="BD24" i="1" s="1"/>
  <c r="L10" i="5" l="1"/>
  <c r="N18" i="9"/>
  <c r="M7" i="6"/>
  <c r="M10" i="5" s="1"/>
  <c r="K28" i="9"/>
  <c r="K8" i="6" s="1"/>
  <c r="L27" i="9"/>
  <c r="E26" i="9"/>
  <c r="BD27" i="1"/>
  <c r="BE29" i="1" s="1"/>
  <c r="BD21" i="1"/>
  <c r="BE23" i="1" s="1"/>
  <c r="BD15" i="1"/>
  <c r="BE16" i="1" s="1"/>
  <c r="BD18" i="1"/>
  <c r="BE19" i="1" s="1"/>
  <c r="BD9" i="1"/>
  <c r="BE11" i="1" s="1"/>
  <c r="BD12" i="1"/>
  <c r="BE14" i="1" s="1"/>
  <c r="BE25" i="1"/>
  <c r="BE26" i="1"/>
  <c r="K11" i="5" l="1"/>
  <c r="O18" i="9"/>
  <c r="N7" i="6"/>
  <c r="N10" i="5" s="1"/>
  <c r="K21" i="6"/>
  <c r="K12" i="5" s="1"/>
  <c r="L28" i="9"/>
  <c r="L8" i="6" s="1"/>
  <c r="M27" i="9"/>
  <c r="BE28" i="1"/>
  <c r="BI16" i="1" s="1"/>
  <c r="BE22" i="1"/>
  <c r="BI14" i="1" s="1"/>
  <c r="BE17" i="1"/>
  <c r="BI12" i="1" s="1"/>
  <c r="BE10" i="1"/>
  <c r="BI10" i="1" s="1"/>
  <c r="BE13" i="1"/>
  <c r="BI11" i="1" s="1"/>
  <c r="BE20" i="1"/>
  <c r="BI13" i="1" s="1"/>
  <c r="P8" i="4"/>
  <c r="BI15" i="1"/>
  <c r="V33" i="9"/>
  <c r="L21" i="6" l="1"/>
  <c r="L12" i="5" s="1"/>
  <c r="P18" i="9"/>
  <c r="O7" i="6"/>
  <c r="L11" i="5"/>
  <c r="M28" i="9"/>
  <c r="M8" i="6" s="1"/>
  <c r="M11" i="5" s="1"/>
  <c r="N27" i="9"/>
  <c r="U33" i="9"/>
  <c r="E31" i="9"/>
  <c r="P9" i="4"/>
  <c r="BJ15" i="1"/>
  <c r="BJ10" i="1"/>
  <c r="BJ16" i="1"/>
  <c r="BJ11" i="1"/>
  <c r="BJ14" i="1"/>
  <c r="BJ12" i="1"/>
  <c r="BJ13" i="1"/>
  <c r="BL12" i="1" l="1"/>
  <c r="BM10" i="1"/>
  <c r="BL10" i="1"/>
  <c r="BM12" i="1"/>
  <c r="BM16" i="1"/>
  <c r="BM15" i="1"/>
  <c r="BL16" i="1"/>
  <c r="BL15" i="1"/>
  <c r="BM14" i="1"/>
  <c r="BM13" i="1"/>
  <c r="BM11" i="1"/>
  <c r="BL14" i="1"/>
  <c r="BL13" i="1"/>
  <c r="BL11" i="1"/>
  <c r="Q18" i="9"/>
  <c r="P7" i="6"/>
  <c r="P10" i="5" s="1"/>
  <c r="M21" i="6"/>
  <c r="M12" i="5" s="1"/>
  <c r="O10" i="5"/>
  <c r="K13" i="5"/>
  <c r="E33" i="9"/>
  <c r="N28" i="9"/>
  <c r="N8" i="6" s="1"/>
  <c r="O27" i="9"/>
  <c r="W33" i="9"/>
  <c r="K9" i="5"/>
  <c r="AA8" i="4"/>
  <c r="AA9" i="4" s="1"/>
  <c r="X33" i="9"/>
  <c r="N21" i="6" l="1"/>
  <c r="N12" i="5" s="1"/>
  <c r="N11" i="5"/>
  <c r="R18" i="9"/>
  <c r="Q7" i="6"/>
  <c r="O28" i="9"/>
  <c r="O8" i="6" s="1"/>
  <c r="P27" i="9"/>
  <c r="K40" i="9"/>
  <c r="K14" i="5"/>
  <c r="L13" i="5"/>
  <c r="Y33" i="9"/>
  <c r="S18" i="9" l="1"/>
  <c r="R7" i="6"/>
  <c r="O21" i="6"/>
  <c r="O12" i="5" s="1"/>
  <c r="Q10" i="5"/>
  <c r="O11" i="5"/>
  <c r="K41" i="9"/>
  <c r="P28" i="9"/>
  <c r="P8" i="6" s="1"/>
  <c r="P11" i="5" s="1"/>
  <c r="Q27" i="9"/>
  <c r="K30" i="6"/>
  <c r="K31" i="5"/>
  <c r="AC8" i="4"/>
  <c r="AC9" i="4" s="1"/>
  <c r="Z8" i="4"/>
  <c r="E8" i="4" s="1"/>
  <c r="E7" i="4"/>
  <c r="Z33" i="9"/>
  <c r="P21" i="6" l="1"/>
  <c r="P12" i="5" s="1"/>
  <c r="T18" i="9"/>
  <c r="S7" i="6"/>
  <c r="R10" i="5"/>
  <c r="Q28" i="9"/>
  <c r="Q8" i="6" s="1"/>
  <c r="R27" i="9"/>
  <c r="K42" i="9"/>
  <c r="N13" i="5"/>
  <c r="M13" i="5"/>
  <c r="Z9" i="4"/>
  <c r="E9" i="4" s="1"/>
  <c r="AB8" i="4"/>
  <c r="AD8" i="4"/>
  <c r="AD9" i="4" s="1"/>
  <c r="Q11" i="5" l="1"/>
  <c r="U18" i="9"/>
  <c r="T7" i="6"/>
  <c r="T10" i="5" s="1"/>
  <c r="S10" i="5"/>
  <c r="Q21" i="6"/>
  <c r="Q12" i="5" s="1"/>
  <c r="K43" i="9"/>
  <c r="AA33" i="9"/>
  <c r="R28" i="9"/>
  <c r="R8" i="6" s="1"/>
  <c r="S27" i="9"/>
  <c r="O13" i="5"/>
  <c r="AE8" i="4"/>
  <c r="AE9" i="4" s="1"/>
  <c r="AB9" i="4"/>
  <c r="AB33" i="9"/>
  <c r="R21" i="6" l="1"/>
  <c r="R12" i="5" s="1"/>
  <c r="V18" i="9"/>
  <c r="U7" i="6"/>
  <c r="R11" i="5"/>
  <c r="S28" i="9"/>
  <c r="S8" i="6" s="1"/>
  <c r="S11" i="5" s="1"/>
  <c r="T27" i="9"/>
  <c r="K45" i="9"/>
  <c r="K22" i="6" s="1"/>
  <c r="K26" i="5" s="1"/>
  <c r="K44" i="9"/>
  <c r="P13" i="5"/>
  <c r="AF8" i="4"/>
  <c r="AC33" i="9"/>
  <c r="L6" i="9" l="1"/>
  <c r="K6" i="6"/>
  <c r="W18" i="9"/>
  <c r="V7" i="6"/>
  <c r="E18" i="9"/>
  <c r="S21" i="6"/>
  <c r="S12" i="5" s="1"/>
  <c r="U10" i="5"/>
  <c r="L36" i="9"/>
  <c r="L24" i="7" s="1"/>
  <c r="T28" i="9"/>
  <c r="T8" i="6" s="1"/>
  <c r="U27" i="9"/>
  <c r="AG8" i="4"/>
  <c r="AG9" i="4" s="1"/>
  <c r="AF9" i="4"/>
  <c r="AD33" i="9"/>
  <c r="K36" i="5" l="1"/>
  <c r="L35" i="5"/>
  <c r="P13" i="4"/>
  <c r="T11" i="5"/>
  <c r="X18" i="9"/>
  <c r="W7" i="6"/>
  <c r="T21" i="6"/>
  <c r="T12" i="5" s="1"/>
  <c r="V10" i="5"/>
  <c r="Q13" i="5"/>
  <c r="U28" i="9"/>
  <c r="U8" i="6" s="1"/>
  <c r="V27" i="9"/>
  <c r="L37" i="9"/>
  <c r="E7" i="6"/>
  <c r="R13" i="5"/>
  <c r="AH8" i="4"/>
  <c r="AH9" i="4" s="1"/>
  <c r="AE33" i="9"/>
  <c r="U21" i="6" l="1"/>
  <c r="U12" i="5" s="1"/>
  <c r="W10" i="5"/>
  <c r="Y18" i="9"/>
  <c r="X7" i="6"/>
  <c r="X10" i="5" s="1"/>
  <c r="U11" i="5"/>
  <c r="V28" i="9"/>
  <c r="W27" i="9"/>
  <c r="E27" i="9"/>
  <c r="AI8" i="4"/>
  <c r="AI9" i="4" s="1"/>
  <c r="AF33" i="9"/>
  <c r="Z18" i="9" l="1"/>
  <c r="Y7" i="6"/>
  <c r="Y10" i="5" s="1"/>
  <c r="E28" i="9"/>
  <c r="V8" i="6"/>
  <c r="V21" i="6"/>
  <c r="V12" i="5" s="1"/>
  <c r="W28" i="9"/>
  <c r="W8" i="6" s="1"/>
  <c r="X27" i="9"/>
  <c r="S13" i="5"/>
  <c r="T13" i="5"/>
  <c r="AJ8" i="4"/>
  <c r="AJ9" i="4" s="1"/>
  <c r="AG33" i="9"/>
  <c r="W11" i="5" l="1"/>
  <c r="V11" i="5"/>
  <c r="W21" i="6"/>
  <c r="W12" i="5" s="1"/>
  <c r="AA18" i="9"/>
  <c r="Z7" i="6"/>
  <c r="X28" i="9"/>
  <c r="X8" i="6" s="1"/>
  <c r="X11" i="5" s="1"/>
  <c r="Y27" i="9"/>
  <c r="E8" i="6"/>
  <c r="E10" i="5"/>
  <c r="U13" i="5"/>
  <c r="AK8" i="4"/>
  <c r="AK9" i="4" s="1"/>
  <c r="X21" i="6" l="1"/>
  <c r="X12" i="5" s="1"/>
  <c r="Z10" i="5"/>
  <c r="AB18" i="9"/>
  <c r="AA7" i="6"/>
  <c r="AH33" i="9"/>
  <c r="F31" i="9"/>
  <c r="Y28" i="9"/>
  <c r="Y8" i="6" s="1"/>
  <c r="Y11" i="5" s="1"/>
  <c r="Z27" i="9"/>
  <c r="E21" i="6"/>
  <c r="E12" i="5"/>
  <c r="AL8" i="4"/>
  <c r="AL9" i="4" s="1"/>
  <c r="Y21" i="6" l="1"/>
  <c r="Y12" i="5" s="1"/>
  <c r="AC18" i="9"/>
  <c r="AB7" i="6"/>
  <c r="AA10" i="5"/>
  <c r="AI33" i="9"/>
  <c r="Z28" i="9"/>
  <c r="Z8" i="6" s="1"/>
  <c r="Z11" i="5" s="1"/>
  <c r="AA27" i="9"/>
  <c r="F33" i="9"/>
  <c r="E11" i="5"/>
  <c r="V13" i="5"/>
  <c r="E13" i="5" s="1"/>
  <c r="AJ33" i="9"/>
  <c r="AD18" i="9" l="1"/>
  <c r="AC7" i="6"/>
  <c r="AC10" i="5" s="1"/>
  <c r="Z21" i="6"/>
  <c r="Z12" i="5" s="1"/>
  <c r="AB10" i="5"/>
  <c r="AA28" i="9"/>
  <c r="AA8" i="6" s="1"/>
  <c r="AB27" i="9"/>
  <c r="W13" i="5"/>
  <c r="X13" i="5"/>
  <c r="AK33" i="9"/>
  <c r="AA21" i="6" l="1"/>
  <c r="AA12" i="5" s="1"/>
  <c r="AA11" i="5"/>
  <c r="AE18" i="9"/>
  <c r="AD7" i="6"/>
  <c r="AD10" i="5" s="1"/>
  <c r="N25" i="4"/>
  <c r="G32" i="1" s="1"/>
  <c r="AB28" i="9"/>
  <c r="AB8" i="6" s="1"/>
  <c r="AC27" i="9"/>
  <c r="AO8" i="4"/>
  <c r="AO9" i="4" s="1"/>
  <c r="AM8" i="4"/>
  <c r="G8" i="4" s="1"/>
  <c r="G7" i="4"/>
  <c r="AB21" i="6" l="1"/>
  <c r="AB12" i="5" s="1"/>
  <c r="AF18" i="9"/>
  <c r="AE7" i="6"/>
  <c r="AE10" i="5" s="1"/>
  <c r="AB11" i="5"/>
  <c r="AC28" i="9"/>
  <c r="AC8" i="6" s="1"/>
  <c r="AD27" i="9"/>
  <c r="AL33" i="9"/>
  <c r="AM9" i="4"/>
  <c r="G9" i="4" s="1"/>
  <c r="Z13" i="5"/>
  <c r="Y13" i="5"/>
  <c r="AP8" i="4"/>
  <c r="AP9" i="4" s="1"/>
  <c r="AN8" i="4"/>
  <c r="AM33" i="9"/>
  <c r="AC21" i="6" l="1"/>
  <c r="AC12" i="5" s="1"/>
  <c r="AC11" i="5"/>
  <c r="AG18" i="9"/>
  <c r="AF7" i="6"/>
  <c r="AF10" i="5" s="1"/>
  <c r="AD28" i="9"/>
  <c r="AD8" i="6" s="1"/>
  <c r="AE27" i="9"/>
  <c r="AA13" i="5"/>
  <c r="AN9" i="4"/>
  <c r="AN33" i="9"/>
  <c r="AH18" i="9" l="1"/>
  <c r="AG7" i="6"/>
  <c r="AG10" i="5" s="1"/>
  <c r="AD11" i="5"/>
  <c r="AD21" i="6"/>
  <c r="AD12" i="5" s="1"/>
  <c r="AE28" i="9"/>
  <c r="AE8" i="6" s="1"/>
  <c r="AF27" i="9"/>
  <c r="AB13" i="5"/>
  <c r="AR8" i="4"/>
  <c r="AR9" i="4" s="1"/>
  <c r="AO33" i="9"/>
  <c r="AE21" i="6" l="1"/>
  <c r="AE12" i="5" s="1"/>
  <c r="AE11" i="5"/>
  <c r="AH7" i="6"/>
  <c r="AH10" i="5" s="1"/>
  <c r="F18" i="9"/>
  <c r="AI18" i="9"/>
  <c r="AF28" i="9"/>
  <c r="AF8" i="6" s="1"/>
  <c r="AG27" i="9"/>
  <c r="AC13" i="5"/>
  <c r="AS8" i="4"/>
  <c r="AS9" i="4" s="1"/>
  <c r="AQ8" i="4"/>
  <c r="AP33" i="9"/>
  <c r="AF21" i="6" l="1"/>
  <c r="AF12" i="5" s="1"/>
  <c r="AJ18" i="9"/>
  <c r="AI7" i="6"/>
  <c r="AI10" i="5" s="1"/>
  <c r="AF11" i="5"/>
  <c r="AG28" i="9"/>
  <c r="AG8" i="6" s="1"/>
  <c r="AH27" i="9"/>
  <c r="F7" i="6"/>
  <c r="AQ9" i="4"/>
  <c r="AT8" i="4"/>
  <c r="AT9" i="4" s="1"/>
  <c r="AQ33" i="9"/>
  <c r="AG11" i="5" l="1"/>
  <c r="AG21" i="6"/>
  <c r="AG12" i="5" s="1"/>
  <c r="AK18" i="9"/>
  <c r="AJ7" i="6"/>
  <c r="AH28" i="9"/>
  <c r="AI27" i="9"/>
  <c r="F27" i="9"/>
  <c r="AD13" i="5"/>
  <c r="AE13" i="5"/>
  <c r="AU8" i="4"/>
  <c r="AU9" i="4" s="1"/>
  <c r="AR33" i="9"/>
  <c r="F28" i="9" l="1"/>
  <c r="AH8" i="6"/>
  <c r="AL18" i="9"/>
  <c r="AK7" i="6"/>
  <c r="AK10" i="5" s="1"/>
  <c r="AJ10" i="5"/>
  <c r="AH21" i="6"/>
  <c r="AH12" i="5" s="1"/>
  <c r="AI28" i="9"/>
  <c r="AI8" i="6" s="1"/>
  <c r="AJ27" i="9"/>
  <c r="AF13" i="5"/>
  <c r="AV8" i="4"/>
  <c r="AV9" i="4" s="1"/>
  <c r="AS33" i="9"/>
  <c r="AI21" i="6" l="1"/>
  <c r="AI12" i="5" s="1"/>
  <c r="AM18" i="9"/>
  <c r="AL7" i="6"/>
  <c r="AL10" i="5" s="1"/>
  <c r="AI11" i="5"/>
  <c r="AH11" i="5"/>
  <c r="AJ28" i="9"/>
  <c r="AJ8" i="6" s="1"/>
  <c r="AK27" i="9"/>
  <c r="F8" i="6"/>
  <c r="AG13" i="5"/>
  <c r="F10" i="5"/>
  <c r="AW8" i="4"/>
  <c r="AW9" i="4" s="1"/>
  <c r="AJ21" i="6" l="1"/>
  <c r="AJ12" i="5" s="1"/>
  <c r="AJ11" i="5"/>
  <c r="AN18" i="9"/>
  <c r="AM7" i="6"/>
  <c r="AT33" i="9"/>
  <c r="G31" i="9"/>
  <c r="AK28" i="9"/>
  <c r="AK8" i="6" s="1"/>
  <c r="AL27" i="9"/>
  <c r="F12" i="5"/>
  <c r="F21" i="6"/>
  <c r="AX8" i="4"/>
  <c r="AX9" i="4" s="1"/>
  <c r="AK21" i="6" l="1"/>
  <c r="AK12" i="5" s="1"/>
  <c r="AO18" i="9"/>
  <c r="AN7" i="6"/>
  <c r="AN10" i="5" s="1"/>
  <c r="AM10" i="5"/>
  <c r="AK11" i="5"/>
  <c r="AL28" i="9"/>
  <c r="AL8" i="6" s="1"/>
  <c r="AL11" i="5" s="1"/>
  <c r="AM27" i="9"/>
  <c r="AU33" i="9"/>
  <c r="G33" i="9"/>
  <c r="F11" i="5"/>
  <c r="AH13" i="5"/>
  <c r="F13" i="5" s="1"/>
  <c r="AV33" i="9"/>
  <c r="AL21" i="6" l="1"/>
  <c r="AL12" i="5" s="1"/>
  <c r="AP18" i="9"/>
  <c r="AO7" i="6"/>
  <c r="AM28" i="9"/>
  <c r="AM8" i="6" s="1"/>
  <c r="AN27" i="9"/>
  <c r="AI13" i="5"/>
  <c r="AJ13" i="5"/>
  <c r="AW33" i="9"/>
  <c r="AQ18" i="9" l="1"/>
  <c r="AP7" i="6"/>
  <c r="AP10" i="5" s="1"/>
  <c r="AM21" i="6"/>
  <c r="AM12" i="5" s="1"/>
  <c r="AM11" i="5"/>
  <c r="AO10" i="5"/>
  <c r="AN28" i="9"/>
  <c r="AN8" i="6" s="1"/>
  <c r="AO27" i="9"/>
  <c r="AY8" i="4"/>
  <c r="I8" i="4" s="1"/>
  <c r="I7" i="4"/>
  <c r="BA8" i="4"/>
  <c r="BA9" i="4" s="1"/>
  <c r="AX33" i="9"/>
  <c r="AN21" i="6" l="1"/>
  <c r="AN12" i="5" s="1"/>
  <c r="AR18" i="9"/>
  <c r="AQ7" i="6"/>
  <c r="AN11" i="5"/>
  <c r="AK13" i="5"/>
  <c r="AO28" i="9"/>
  <c r="AO8" i="6" s="1"/>
  <c r="AO11" i="5" s="1"/>
  <c r="AP27" i="9"/>
  <c r="AZ8" i="4"/>
  <c r="AZ9" i="4" s="1"/>
  <c r="BB8" i="4"/>
  <c r="BB9" i="4" s="1"/>
  <c r="AY9" i="4"/>
  <c r="AY33" i="9"/>
  <c r="AO21" i="6" l="1"/>
  <c r="AO12" i="5" s="1"/>
  <c r="AS18" i="9"/>
  <c r="AR7" i="6"/>
  <c r="AQ10" i="5"/>
  <c r="AP28" i="9"/>
  <c r="AP8" i="6" s="1"/>
  <c r="AQ27" i="9"/>
  <c r="AL13" i="5"/>
  <c r="AM13" i="5"/>
  <c r="I9" i="4"/>
  <c r="BC8" i="4"/>
  <c r="BC9" i="4" s="1"/>
  <c r="AZ33" i="9"/>
  <c r="AP11" i="5" l="1"/>
  <c r="AP21" i="6"/>
  <c r="AP12" i="5" s="1"/>
  <c r="AT18" i="9"/>
  <c r="AS7" i="6"/>
  <c r="AR10" i="5"/>
  <c r="AQ28" i="9"/>
  <c r="AQ8" i="6" s="1"/>
  <c r="AR27" i="9"/>
  <c r="AN13" i="5"/>
  <c r="BD8" i="4"/>
  <c r="BA33" i="9"/>
  <c r="AS10" i="5" l="1"/>
  <c r="AQ21" i="6"/>
  <c r="AQ12" i="5" s="1"/>
  <c r="AT7" i="6"/>
  <c r="AU18" i="9"/>
  <c r="G18" i="9"/>
  <c r="AQ11" i="5"/>
  <c r="AR28" i="9"/>
  <c r="AR8" i="6" s="1"/>
  <c r="AR11" i="5" s="1"/>
  <c r="AS27" i="9"/>
  <c r="AO13" i="5"/>
  <c r="BE8" i="4"/>
  <c r="BE9" i="4" s="1"/>
  <c r="BD9" i="4"/>
  <c r="BB33" i="9"/>
  <c r="AR21" i="6" l="1"/>
  <c r="AR12" i="5" s="1"/>
  <c r="AV18" i="9"/>
  <c r="AU7" i="6"/>
  <c r="AU10" i="5" s="1"/>
  <c r="AT10" i="5"/>
  <c r="AS28" i="9"/>
  <c r="AS8" i="6" s="1"/>
  <c r="AT27" i="9"/>
  <c r="G7" i="6"/>
  <c r="AP13" i="5"/>
  <c r="BF8" i="4"/>
  <c r="BF9" i="4" s="1"/>
  <c r="BC33" i="9"/>
  <c r="AS21" i="6" l="1"/>
  <c r="AS12" i="5" s="1"/>
  <c r="AS11" i="5"/>
  <c r="AW18" i="9"/>
  <c r="AV7" i="6"/>
  <c r="G27" i="9"/>
  <c r="AT28" i="9"/>
  <c r="AT21" i="6" s="1"/>
  <c r="AU27" i="9"/>
  <c r="AQ13" i="5"/>
  <c r="BG8" i="4"/>
  <c r="BG9" i="4" s="1"/>
  <c r="BD33" i="9"/>
  <c r="AT12" i="5" l="1"/>
  <c r="AV10" i="5"/>
  <c r="AX18" i="9"/>
  <c r="AW7" i="6"/>
  <c r="G28" i="9"/>
  <c r="AT8" i="6"/>
  <c r="AU28" i="9"/>
  <c r="AU8" i="6" s="1"/>
  <c r="AV27" i="9"/>
  <c r="AR13" i="5"/>
  <c r="BH8" i="4"/>
  <c r="BH9" i="4" s="1"/>
  <c r="BE33" i="9"/>
  <c r="AU21" i="6" l="1"/>
  <c r="AU12" i="5" s="1"/>
  <c r="AY18" i="9"/>
  <c r="AX7" i="6"/>
  <c r="AX10" i="5" s="1"/>
  <c r="AU11" i="5"/>
  <c r="AT11" i="5"/>
  <c r="AW10" i="5"/>
  <c r="AV28" i="9"/>
  <c r="AV8" i="6" s="1"/>
  <c r="AV11" i="5" s="1"/>
  <c r="AW27" i="9"/>
  <c r="G8" i="6"/>
  <c r="G10" i="5"/>
  <c r="AS13" i="5"/>
  <c r="BI8" i="4"/>
  <c r="BI9" i="4" s="1"/>
  <c r="AV21" i="6" l="1"/>
  <c r="AV12" i="5" s="1"/>
  <c r="AZ18" i="9"/>
  <c r="AY7" i="6"/>
  <c r="AY10" i="5" s="1"/>
  <c r="AW28" i="9"/>
  <c r="AW8" i="6" s="1"/>
  <c r="AW11" i="5" s="1"/>
  <c r="AX27" i="9"/>
  <c r="BF33" i="9"/>
  <c r="H31" i="9"/>
  <c r="G12" i="5"/>
  <c r="G21" i="6"/>
  <c r="BJ8" i="4"/>
  <c r="BJ9" i="4" s="1"/>
  <c r="BA18" i="9" l="1"/>
  <c r="AZ7" i="6"/>
  <c r="AZ10" i="5" s="1"/>
  <c r="AW21" i="6"/>
  <c r="AW12" i="5" s="1"/>
  <c r="H33" i="9"/>
  <c r="BG33" i="9"/>
  <c r="AX28" i="9"/>
  <c r="AX8" i="6" s="1"/>
  <c r="AX11" i="5" s="1"/>
  <c r="AY27" i="9"/>
  <c r="G11" i="5"/>
  <c r="AT13" i="5"/>
  <c r="G13" i="5" s="1"/>
  <c r="BH33" i="9"/>
  <c r="BB18" i="9" l="1"/>
  <c r="BA7" i="6"/>
  <c r="AX21" i="6"/>
  <c r="AX12" i="5" s="1"/>
  <c r="AY28" i="9"/>
  <c r="AY8" i="6" s="1"/>
  <c r="AY11" i="5" s="1"/>
  <c r="AZ27" i="9"/>
  <c r="AU13" i="5"/>
  <c r="AV13" i="5"/>
  <c r="BI33" i="9"/>
  <c r="BC18" i="9" l="1"/>
  <c r="BB7" i="6"/>
  <c r="BB10" i="5" s="1"/>
  <c r="AY21" i="6"/>
  <c r="AY12" i="5" s="1"/>
  <c r="BA10" i="5"/>
  <c r="AZ28" i="9"/>
  <c r="AZ8" i="6" s="1"/>
  <c r="BA27" i="9"/>
  <c r="AW13" i="5"/>
  <c r="BK8" i="4"/>
  <c r="K8" i="4" s="1"/>
  <c r="K7" i="4"/>
  <c r="BM8" i="4"/>
  <c r="BM9" i="4" s="1"/>
  <c r="BJ33" i="9"/>
  <c r="AZ11" i="5" l="1"/>
  <c r="AZ21" i="6"/>
  <c r="AZ12" i="5" s="1"/>
  <c r="BD18" i="9"/>
  <c r="BC7" i="6"/>
  <c r="BA28" i="9"/>
  <c r="BA8" i="6" s="1"/>
  <c r="BB27" i="9"/>
  <c r="BK9" i="4"/>
  <c r="K9" i="4" s="1"/>
  <c r="BL8" i="4"/>
  <c r="BN8" i="4"/>
  <c r="BN9" i="4" s="1"/>
  <c r="BK33" i="9"/>
  <c r="BC10" i="5" l="1"/>
  <c r="BA21" i="6"/>
  <c r="BA12" i="5" s="1"/>
  <c r="BE18" i="9"/>
  <c r="BD7" i="6"/>
  <c r="BA11" i="5"/>
  <c r="AX13" i="5"/>
  <c r="BB28" i="9"/>
  <c r="BB8" i="6" s="1"/>
  <c r="BB11" i="5" s="1"/>
  <c r="BC27" i="9"/>
  <c r="BL9" i="4"/>
  <c r="BO8" i="4"/>
  <c r="BO9" i="4" s="1"/>
  <c r="BL33" i="9"/>
  <c r="BB21" i="6" l="1"/>
  <c r="BB12" i="5" s="1"/>
  <c r="BF18" i="9"/>
  <c r="BE7" i="6"/>
  <c r="BD10" i="5"/>
  <c r="BC28" i="9"/>
  <c r="BC8" i="6" s="1"/>
  <c r="BD27" i="9"/>
  <c r="AY13" i="5"/>
  <c r="AZ13" i="5"/>
  <c r="BP8" i="4"/>
  <c r="BM33" i="9"/>
  <c r="BF7" i="6" l="1"/>
  <c r="BF10" i="5" s="1"/>
  <c r="BG18" i="9"/>
  <c r="H18" i="9"/>
  <c r="BC11" i="5"/>
  <c r="BC21" i="6"/>
  <c r="BC12" i="5" s="1"/>
  <c r="BE10" i="5"/>
  <c r="BD28" i="9"/>
  <c r="BD8" i="6" s="1"/>
  <c r="BE27" i="9"/>
  <c r="BA13" i="5"/>
  <c r="BP9" i="4"/>
  <c r="BQ8" i="4"/>
  <c r="BQ9" i="4" s="1"/>
  <c r="BN33" i="9"/>
  <c r="BH18" i="9" l="1"/>
  <c r="BG7" i="6"/>
  <c r="BG10" i="5" s="1"/>
  <c r="BD11" i="5"/>
  <c r="BD21" i="6"/>
  <c r="BD12" i="5" s="1"/>
  <c r="BE28" i="9"/>
  <c r="BE8" i="6" s="1"/>
  <c r="BF27" i="9"/>
  <c r="H7" i="6"/>
  <c r="BB13" i="5"/>
  <c r="BR8" i="4"/>
  <c r="BR9" i="4" s="1"/>
  <c r="BO33" i="9"/>
  <c r="BI18" i="9" l="1"/>
  <c r="BH7" i="6"/>
  <c r="BE11" i="5"/>
  <c r="BE21" i="6"/>
  <c r="BE12" i="5" s="1"/>
  <c r="BF28" i="9"/>
  <c r="BF21" i="6" s="1"/>
  <c r="BG27" i="9"/>
  <c r="H27" i="9"/>
  <c r="BC13" i="5"/>
  <c r="BS8" i="4"/>
  <c r="BS9" i="4" s="1"/>
  <c r="BP33" i="9"/>
  <c r="BF12" i="5" l="1"/>
  <c r="H28" i="9"/>
  <c r="BF8" i="6"/>
  <c r="BJ18" i="9"/>
  <c r="BI7" i="6"/>
  <c r="BH10" i="5"/>
  <c r="BG28" i="9"/>
  <c r="BG8" i="6" s="1"/>
  <c r="BH27" i="9"/>
  <c r="BT8" i="4"/>
  <c r="BT9" i="4" s="1"/>
  <c r="BQ33" i="9"/>
  <c r="BI10" i="5" l="1"/>
  <c r="BG21" i="6"/>
  <c r="BG12" i="5" s="1"/>
  <c r="BG11" i="5"/>
  <c r="BF11" i="5"/>
  <c r="BK18" i="9"/>
  <c r="BJ7" i="6"/>
  <c r="BJ10" i="5" s="1"/>
  <c r="BH28" i="9"/>
  <c r="BH8" i="6" s="1"/>
  <c r="BI27" i="9"/>
  <c r="H8" i="6"/>
  <c r="BD13" i="5"/>
  <c r="H10" i="5"/>
  <c r="BU8" i="4"/>
  <c r="BU9" i="4" s="1"/>
  <c r="BL18" i="9" l="1"/>
  <c r="BK7" i="6"/>
  <c r="BK10" i="5" s="1"/>
  <c r="BH21" i="6"/>
  <c r="BH12" i="5" s="1"/>
  <c r="BH11" i="5"/>
  <c r="BR33" i="9"/>
  <c r="I31" i="9"/>
  <c r="BI28" i="9"/>
  <c r="BI8" i="6" s="1"/>
  <c r="BI11" i="5" s="1"/>
  <c r="BJ27" i="9"/>
  <c r="BE13" i="5"/>
  <c r="H21" i="6"/>
  <c r="H12" i="5"/>
  <c r="BV8" i="4"/>
  <c r="BV9" i="4" s="1"/>
  <c r="BI21" i="6" l="1"/>
  <c r="BI12" i="5" s="1"/>
  <c r="BM18" i="9"/>
  <c r="BL7" i="6"/>
  <c r="BJ28" i="9"/>
  <c r="BJ8" i="6" s="1"/>
  <c r="BK27" i="9"/>
  <c r="I33" i="9"/>
  <c r="H11" i="5"/>
  <c r="BF13" i="5"/>
  <c r="H13" i="5" s="1"/>
  <c r="BJ11" i="5" l="1"/>
  <c r="BN18" i="9"/>
  <c r="BM7" i="6"/>
  <c r="BL10" i="5"/>
  <c r="BJ21" i="6"/>
  <c r="BJ12" i="5" s="1"/>
  <c r="BK28" i="9"/>
  <c r="BK8" i="6" s="1"/>
  <c r="BK11" i="5" s="1"/>
  <c r="BL27" i="9"/>
  <c r="BG13" i="5"/>
  <c r="BH13" i="5"/>
  <c r="BO18" i="9" l="1"/>
  <c r="BN7" i="6"/>
  <c r="BM10" i="5"/>
  <c r="BK21" i="6"/>
  <c r="BK12" i="5" s="1"/>
  <c r="BL28" i="9"/>
  <c r="BL8" i="6" s="1"/>
  <c r="BM27" i="9"/>
  <c r="BW8" i="4"/>
  <c r="M8" i="4" s="1"/>
  <c r="M7" i="4"/>
  <c r="BL21" i="6" l="1"/>
  <c r="BL12" i="5" s="1"/>
  <c r="BL11" i="5"/>
  <c r="BP18" i="9"/>
  <c r="BO7" i="6"/>
  <c r="BN10" i="5"/>
  <c r="BM28" i="9"/>
  <c r="BM8" i="6" s="1"/>
  <c r="BN27" i="9"/>
  <c r="BJ13" i="5"/>
  <c r="BI13" i="5"/>
  <c r="BW9" i="4"/>
  <c r="BM21" i="6" l="1"/>
  <c r="BM12" i="5" s="1"/>
  <c r="BQ18" i="9"/>
  <c r="BP7" i="6"/>
  <c r="BO10" i="5"/>
  <c r="BM11" i="5"/>
  <c r="BN28" i="9"/>
  <c r="BN8" i="6" s="1"/>
  <c r="BO27" i="9"/>
  <c r="BK13" i="5"/>
  <c r="M9" i="4"/>
  <c r="BN21" i="6" l="1"/>
  <c r="BN12" i="5" s="1"/>
  <c r="BN11" i="5"/>
  <c r="BR18" i="9"/>
  <c r="BQ7" i="6"/>
  <c r="BQ10" i="5" s="1"/>
  <c r="BP10" i="5"/>
  <c r="BO28" i="9"/>
  <c r="BO8" i="6" s="1"/>
  <c r="BP27" i="9"/>
  <c r="BL13" i="5"/>
  <c r="BO21" i="6" l="1"/>
  <c r="BO12" i="5" s="1"/>
  <c r="I18" i="9"/>
  <c r="BR7" i="6"/>
  <c r="I7" i="6" s="1"/>
  <c r="BO11" i="5"/>
  <c r="BP28" i="9"/>
  <c r="BP8" i="6" s="1"/>
  <c r="BP11" i="5" s="1"/>
  <c r="BQ27" i="9"/>
  <c r="BM13" i="5"/>
  <c r="BR10" i="5" l="1"/>
  <c r="BP21" i="6"/>
  <c r="BP12" i="5" s="1"/>
  <c r="BQ28" i="9"/>
  <c r="BQ8" i="6" s="1"/>
  <c r="BR27" i="9"/>
  <c r="BN13" i="5"/>
  <c r="BQ11" i="5" l="1"/>
  <c r="BQ21" i="6"/>
  <c r="BQ12" i="5" s="1"/>
  <c r="I27" i="9"/>
  <c r="BR28" i="9"/>
  <c r="BO13" i="5"/>
  <c r="I28" i="9" l="1"/>
  <c r="BR8" i="6"/>
  <c r="BR11" i="5" s="1"/>
  <c r="BR21" i="6"/>
  <c r="BR12" i="5" s="1"/>
  <c r="BP13" i="5"/>
  <c r="I8" i="6" l="1"/>
  <c r="BQ13" i="5"/>
  <c r="I10" i="5"/>
  <c r="I21" i="6" l="1"/>
  <c r="I12" i="5"/>
  <c r="I11" i="5" l="1"/>
  <c r="BR13" i="5"/>
  <c r="I13" i="5" s="1"/>
  <c r="K24" i="6" l="1"/>
  <c r="K9" i="6"/>
  <c r="K20" i="6" l="1"/>
  <c r="P12" i="4"/>
  <c r="K26" i="6"/>
  <c r="P14" i="4"/>
  <c r="K37" i="5"/>
  <c r="L25" i="7"/>
  <c r="K32" i="6" l="1"/>
  <c r="L26" i="7"/>
  <c r="L27" i="7" s="1"/>
  <c r="L38" i="9"/>
  <c r="P16" i="4"/>
  <c r="P17" i="4" s="1"/>
  <c r="K27" i="5"/>
  <c r="L6" i="5" l="1"/>
  <c r="L9" i="5" s="1"/>
  <c r="L28" i="7"/>
  <c r="K32" i="5"/>
  <c r="P18" i="4"/>
  <c r="L39" i="9" l="1"/>
  <c r="L30" i="5"/>
  <c r="L31" i="5" s="1"/>
  <c r="L29" i="7"/>
  <c r="L29" i="6" s="1"/>
  <c r="K33" i="5"/>
  <c r="L14" i="5"/>
  <c r="P19" i="4"/>
  <c r="L40" i="9" l="1"/>
  <c r="L30" i="6"/>
  <c r="K39" i="5"/>
  <c r="L41" i="9" l="1"/>
  <c r="L42" i="9" l="1"/>
  <c r="L43" i="9" l="1"/>
  <c r="L45" i="9" l="1"/>
  <c r="L22" i="6" s="1"/>
  <c r="L26" i="5" s="1"/>
  <c r="L44" i="9"/>
  <c r="L24" i="6" l="1"/>
  <c r="M6" i="9"/>
  <c r="L6" i="6"/>
  <c r="M36" i="9"/>
  <c r="M24" i="7" s="1"/>
  <c r="L36" i="5" l="1"/>
  <c r="L37" i="5" s="1"/>
  <c r="M35" i="5"/>
  <c r="Q13" i="4"/>
  <c r="L9" i="6"/>
  <c r="L26" i="6"/>
  <c r="Q14" i="4"/>
  <c r="M37" i="9"/>
  <c r="M25" i="7"/>
  <c r="L27" i="5"/>
  <c r="L20" i="6" l="1"/>
  <c r="L32" i="6" s="1"/>
  <c r="Q12" i="4"/>
  <c r="Q16" i="4" s="1"/>
  <c r="Q17" i="4" s="1"/>
  <c r="M26" i="7"/>
  <c r="M27" i="7" s="1"/>
  <c r="M38" i="9"/>
  <c r="L32" i="5"/>
  <c r="M6" i="5" l="1"/>
  <c r="M28" i="7"/>
  <c r="M29" i="7" s="1"/>
  <c r="M29" i="6" s="1"/>
  <c r="L33" i="5"/>
  <c r="Q18" i="4"/>
  <c r="M39" i="9" l="1"/>
  <c r="M30" i="5"/>
  <c r="M9" i="5"/>
  <c r="L39" i="5"/>
  <c r="Q19" i="4"/>
  <c r="M31" i="5" l="1"/>
  <c r="M14" i="5"/>
  <c r="M40" i="9" l="1"/>
  <c r="M30" i="6"/>
  <c r="M41" i="9" l="1"/>
  <c r="M42" i="9" l="1"/>
  <c r="M43" i="9" l="1"/>
  <c r="M45" i="9" l="1"/>
  <c r="M22" i="6" s="1"/>
  <c r="M26" i="5" s="1"/>
  <c r="M44" i="9"/>
  <c r="M24" i="6" l="1"/>
  <c r="M26" i="6" s="1"/>
  <c r="N6" i="9"/>
  <c r="M6" i="6"/>
  <c r="M9" i="6" s="1"/>
  <c r="N36" i="9"/>
  <c r="N24" i="7" s="1"/>
  <c r="R14" i="4" l="1"/>
  <c r="M36" i="5"/>
  <c r="M37" i="5" s="1"/>
  <c r="N35" i="5"/>
  <c r="R13" i="4"/>
  <c r="M20" i="6"/>
  <c r="M32" i="6" s="1"/>
  <c r="R12" i="4"/>
  <c r="N37" i="9"/>
  <c r="N25" i="7"/>
  <c r="M27" i="5"/>
  <c r="R16" i="4" l="1"/>
  <c r="R17" i="4" s="1"/>
  <c r="N26" i="7"/>
  <c r="N27" i="7" s="1"/>
  <c r="N38" i="9"/>
  <c r="M32" i="5"/>
  <c r="N6" i="5" l="1"/>
  <c r="N28" i="7"/>
  <c r="M33" i="5"/>
  <c r="R18" i="4"/>
  <c r="N39" i="9" l="1"/>
  <c r="N30" i="5"/>
  <c r="N29" i="7"/>
  <c r="N29" i="6" s="1"/>
  <c r="N9" i="5"/>
  <c r="M39" i="5"/>
  <c r="R19" i="4"/>
  <c r="N31" i="5" l="1"/>
  <c r="N14" i="5"/>
  <c r="N40" i="9" l="1"/>
  <c r="N30" i="6"/>
  <c r="N41" i="9" l="1"/>
  <c r="N42" i="9" l="1"/>
  <c r="N43" i="9" l="1"/>
  <c r="N45" i="9" l="1"/>
  <c r="N22" i="6" s="1"/>
  <c r="N26" i="5" s="1"/>
  <c r="N44" i="9"/>
  <c r="N24" i="6" l="1"/>
  <c r="O6" i="9"/>
  <c r="N6" i="6"/>
  <c r="N9" i="6" s="1"/>
  <c r="O36" i="9"/>
  <c r="O24" i="7" s="1"/>
  <c r="N20" i="6" l="1"/>
  <c r="S12" i="4"/>
  <c r="N36" i="5"/>
  <c r="N37" i="5" s="1"/>
  <c r="O35" i="5"/>
  <c r="S13" i="4"/>
  <c r="N26" i="6"/>
  <c r="S14" i="4"/>
  <c r="O37" i="9"/>
  <c r="O25" i="7"/>
  <c r="N27" i="5"/>
  <c r="O26" i="7" l="1"/>
  <c r="O27" i="7" s="1"/>
  <c r="O38" i="9"/>
  <c r="N32" i="6"/>
  <c r="S16" i="4"/>
  <c r="S17" i="4" s="1"/>
  <c r="N32" i="5"/>
  <c r="O6" i="5" l="1"/>
  <c r="O9" i="5" s="1"/>
  <c r="O28" i="7"/>
  <c r="N33" i="5"/>
  <c r="S18" i="4"/>
  <c r="O39" i="9" l="1"/>
  <c r="O40" i="9" s="1"/>
  <c r="O41" i="9" s="1"/>
  <c r="O30" i="5"/>
  <c r="O29" i="7"/>
  <c r="O29" i="6" s="1"/>
  <c r="N39" i="5"/>
  <c r="O14" i="5"/>
  <c r="S19" i="4"/>
  <c r="O42" i="9" l="1"/>
  <c r="O30" i="6"/>
  <c r="O31" i="5"/>
  <c r="O43" i="9" l="1"/>
  <c r="O45" i="9" l="1"/>
  <c r="O22" i="6" s="1"/>
  <c r="O26" i="5" s="1"/>
  <c r="O44" i="9"/>
  <c r="P6" i="9" l="1"/>
  <c r="O6" i="6"/>
  <c r="O9" i="6" s="1"/>
  <c r="P36" i="9"/>
  <c r="P24" i="7" s="1"/>
  <c r="O20" i="6" l="1"/>
  <c r="T12" i="4"/>
  <c r="O36" i="5"/>
  <c r="P35" i="5"/>
  <c r="T13" i="4"/>
  <c r="P37" i="9"/>
  <c r="O24" i="6"/>
  <c r="O26" i="6" l="1"/>
  <c r="O32" i="6" s="1"/>
  <c r="T14" i="4"/>
  <c r="O37" i="5"/>
  <c r="P25" i="7" l="1"/>
  <c r="O27" i="5"/>
  <c r="T16" i="4"/>
  <c r="P26" i="7" l="1"/>
  <c r="P27" i="7" s="1"/>
  <c r="P38" i="9"/>
  <c r="O32" i="5"/>
  <c r="T17" i="4"/>
  <c r="P6" i="5" l="1"/>
  <c r="P9" i="5" s="1"/>
  <c r="P14" i="5" s="1"/>
  <c r="P28" i="7"/>
  <c r="O33" i="5"/>
  <c r="T18" i="4"/>
  <c r="P39" i="9" l="1"/>
  <c r="P40" i="9" s="1"/>
  <c r="P41" i="9" s="1"/>
  <c r="P42" i="9" s="1"/>
  <c r="P43" i="9" s="1"/>
  <c r="P45" i="9" s="1"/>
  <c r="P22" i="6" s="1"/>
  <c r="P26" i="5" s="1"/>
  <c r="P30" i="5"/>
  <c r="P31" i="5" s="1"/>
  <c r="P29" i="7"/>
  <c r="P29" i="6" s="1"/>
  <c r="O39" i="5"/>
  <c r="T19" i="4"/>
  <c r="P44" i="9" l="1"/>
  <c r="Q36" i="9"/>
  <c r="P30" i="6"/>
  <c r="Q37" i="9" l="1"/>
  <c r="Q24" i="7"/>
  <c r="Q6" i="9"/>
  <c r="P6" i="6"/>
  <c r="P36" i="5" l="1"/>
  <c r="U13" i="4"/>
  <c r="Q35" i="5"/>
  <c r="P9" i="6"/>
  <c r="P24" i="6"/>
  <c r="P26" i="6" l="1"/>
  <c r="U14" i="4"/>
  <c r="P20" i="6"/>
  <c r="U12" i="4"/>
  <c r="P37" i="5"/>
  <c r="P27" i="5"/>
  <c r="P32" i="5" s="1"/>
  <c r="P33" i="5" s="1"/>
  <c r="P39" i="5" l="1"/>
  <c r="P32" i="6"/>
  <c r="Q25" i="7"/>
  <c r="U16" i="4"/>
  <c r="U17" i="4" s="1"/>
  <c r="U18" i="4" s="1"/>
  <c r="U19" i="4" s="1"/>
  <c r="Q26" i="7" l="1"/>
  <c r="Q27" i="7" s="1"/>
  <c r="Q38" i="9"/>
  <c r="Q6" i="5" l="1"/>
  <c r="Q9" i="5" s="1"/>
  <c r="Q14" i="5" s="1"/>
  <c r="Q28" i="7"/>
  <c r="Q39" i="9" l="1"/>
  <c r="Q40" i="9" s="1"/>
  <c r="Q41" i="9" s="1"/>
  <c r="Q42" i="9" s="1"/>
  <c r="Q43" i="9" s="1"/>
  <c r="Q45" i="9" s="1"/>
  <c r="Q22" i="6" s="1"/>
  <c r="Q26" i="5" s="1"/>
  <c r="Q30" i="5"/>
  <c r="Q31" i="5" s="1"/>
  <c r="Q29" i="7"/>
  <c r="Q29" i="6" s="1"/>
  <c r="R36" i="9" l="1"/>
  <c r="Q44" i="9"/>
  <c r="Q30" i="6"/>
  <c r="R6" i="9" l="1"/>
  <c r="Q6" i="6"/>
  <c r="R37" i="9"/>
  <c r="R24" i="7"/>
  <c r="Q24" i="6"/>
  <c r="Q26" i="6" l="1"/>
  <c r="V14" i="4"/>
  <c r="Q36" i="5"/>
  <c r="R35" i="5"/>
  <c r="V13" i="4"/>
  <c r="Q9" i="6"/>
  <c r="Q27" i="5"/>
  <c r="Q32" i="5" s="1"/>
  <c r="Q33" i="5" s="1"/>
  <c r="Q20" i="6" l="1"/>
  <c r="Q32" i="6" s="1"/>
  <c r="V12" i="4"/>
  <c r="R25" i="7"/>
  <c r="R26" i="7" l="1"/>
  <c r="R27" i="7" s="1"/>
  <c r="R38" i="9"/>
  <c r="Q37" i="5"/>
  <c r="Q39" i="5" s="1"/>
  <c r="R6" i="5" l="1"/>
  <c r="R9" i="5" s="1"/>
  <c r="R14" i="5" s="1"/>
  <c r="R28" i="7"/>
  <c r="V16" i="4"/>
  <c r="V17" i="4" s="1"/>
  <c r="V18" i="4" s="1"/>
  <c r="V19" i="4" s="1"/>
  <c r="R39" i="9" l="1"/>
  <c r="R40" i="9" s="1"/>
  <c r="R41" i="9" s="1"/>
  <c r="R42" i="9" s="1"/>
  <c r="R30" i="5"/>
  <c r="R29" i="7"/>
  <c r="R29" i="6" s="1"/>
  <c r="R43" i="9" l="1"/>
  <c r="R45" i="9" s="1"/>
  <c r="R22" i="6" s="1"/>
  <c r="R26" i="5" s="1"/>
  <c r="R31" i="5"/>
  <c r="S36" i="9" l="1"/>
  <c r="R44" i="9"/>
  <c r="R30" i="6"/>
  <c r="S6" i="9" l="1"/>
  <c r="R6" i="6"/>
  <c r="S37" i="9"/>
  <c r="S24" i="7"/>
  <c r="R24" i="6"/>
  <c r="R36" i="5" l="1"/>
  <c r="S35" i="5"/>
  <c r="W13" i="4"/>
  <c r="R26" i="6"/>
  <c r="W14" i="4"/>
  <c r="R27" i="5"/>
  <c r="R32" i="5" s="1"/>
  <c r="R33" i="5" s="1"/>
  <c r="S25" i="7" l="1"/>
  <c r="R9" i="6"/>
  <c r="R20" i="6" l="1"/>
  <c r="R32" i="6" s="1"/>
  <c r="W12" i="4"/>
  <c r="W16" i="4" s="1"/>
  <c r="W17" i="4" s="1"/>
  <c r="W18" i="4" s="1"/>
  <c r="W19" i="4" s="1"/>
  <c r="S26" i="7"/>
  <c r="S38" i="9"/>
  <c r="R37" i="5"/>
  <c r="R39" i="5" s="1"/>
  <c r="S27" i="7" l="1"/>
  <c r="S6" i="5"/>
  <c r="S9" i="5" s="1"/>
  <c r="S14" i="5" s="1"/>
  <c r="S28" i="7"/>
  <c r="S39" i="9" l="1"/>
  <c r="S40" i="9" s="1"/>
  <c r="S41" i="9" s="1"/>
  <c r="S42" i="9" s="1"/>
  <c r="S43" i="9" s="1"/>
  <c r="S45" i="9" s="1"/>
  <c r="S22" i="6" s="1"/>
  <c r="S26" i="5" s="1"/>
  <c r="S30" i="5"/>
  <c r="S31" i="5" s="1"/>
  <c r="S29" i="7"/>
  <c r="S29" i="6" s="1"/>
  <c r="S30" i="6" s="1"/>
  <c r="T36" i="9" l="1"/>
  <c r="S44" i="9"/>
  <c r="T6" i="9" l="1"/>
  <c r="S6" i="6"/>
  <c r="T37" i="9"/>
  <c r="T24" i="7"/>
  <c r="S24" i="6"/>
  <c r="S36" i="5" l="1"/>
  <c r="S37" i="5" s="1"/>
  <c r="X13" i="4"/>
  <c r="T35" i="5"/>
  <c r="S9" i="6"/>
  <c r="S26" i="6"/>
  <c r="X14" i="4"/>
  <c r="S27" i="5"/>
  <c r="S32" i="5" s="1"/>
  <c r="S33" i="5" s="1"/>
  <c r="S39" i="5" l="1"/>
  <c r="S20" i="6"/>
  <c r="S32" i="6" s="1"/>
  <c r="X12" i="4"/>
  <c r="X16" i="4" s="1"/>
  <c r="X17" i="4" s="1"/>
  <c r="X18" i="4" s="1"/>
  <c r="X19" i="4" s="1"/>
  <c r="T25" i="7"/>
  <c r="T26" i="7" l="1"/>
  <c r="T27" i="7" s="1"/>
  <c r="T38" i="9"/>
  <c r="T6" i="5" l="1"/>
  <c r="T9" i="5" s="1"/>
  <c r="T14" i="5" s="1"/>
  <c r="T28" i="7"/>
  <c r="T39" i="9" l="1"/>
  <c r="T40" i="9" s="1"/>
  <c r="T41" i="9" s="1"/>
  <c r="T42" i="9" s="1"/>
  <c r="T30" i="5"/>
  <c r="T29" i="7"/>
  <c r="T29" i="6" s="1"/>
  <c r="T43" i="9" l="1"/>
  <c r="T45" i="9" s="1"/>
  <c r="T22" i="6" s="1"/>
  <c r="T26" i="5" s="1"/>
  <c r="T31" i="5"/>
  <c r="U36" i="9" l="1"/>
  <c r="T44" i="9"/>
  <c r="T30" i="6"/>
  <c r="U6" i="9" l="1"/>
  <c r="T6" i="6"/>
  <c r="T9" i="6" s="1"/>
  <c r="U37" i="9"/>
  <c r="U24" i="7"/>
  <c r="T20" i="6" l="1"/>
  <c r="Y12" i="4"/>
  <c r="T36" i="5"/>
  <c r="U35" i="5"/>
  <c r="Y13" i="4"/>
  <c r="T24" i="6"/>
  <c r="T26" i="6" l="1"/>
  <c r="T32" i="6" s="1"/>
  <c r="Y14" i="4"/>
  <c r="T37" i="5"/>
  <c r="T27" i="5"/>
  <c r="T32" i="5" s="1"/>
  <c r="T33" i="5" s="1"/>
  <c r="T39" i="5" l="1"/>
  <c r="U25" i="7"/>
  <c r="Y16" i="4"/>
  <c r="Y17" i="4" s="1"/>
  <c r="Y18" i="4" s="1"/>
  <c r="Y19" i="4" s="1"/>
  <c r="U26" i="7" l="1"/>
  <c r="U27" i="7" s="1"/>
  <c r="U38" i="9"/>
  <c r="U6" i="5" l="1"/>
  <c r="U9" i="5" s="1"/>
  <c r="U14" i="5" s="1"/>
  <c r="U28" i="7"/>
  <c r="U39" i="9" l="1"/>
  <c r="U40" i="9" s="1"/>
  <c r="U41" i="9" s="1"/>
  <c r="U42" i="9" s="1"/>
  <c r="U30" i="5"/>
  <c r="U29" i="7"/>
  <c r="U29" i="6" s="1"/>
  <c r="U43" i="9" l="1"/>
  <c r="U45" i="9" s="1"/>
  <c r="U22" i="6" s="1"/>
  <c r="U26" i="5" s="1"/>
  <c r="U31" i="5"/>
  <c r="V36" i="9" l="1"/>
  <c r="V24" i="7" s="1"/>
  <c r="E18" i="1" s="1"/>
  <c r="U44" i="9"/>
  <c r="U30" i="6"/>
  <c r="V6" i="9" l="1"/>
  <c r="U6" i="6"/>
  <c r="V37" i="9"/>
  <c r="E36" i="9"/>
  <c r="U36" i="5" l="1"/>
  <c r="V35" i="5"/>
  <c r="Z13" i="4"/>
  <c r="E37" i="9"/>
  <c r="U24" i="6"/>
  <c r="U9" i="6"/>
  <c r="U20" i="6" l="1"/>
  <c r="Z12" i="4"/>
  <c r="U26" i="6"/>
  <c r="Z14" i="4"/>
  <c r="U27" i="5"/>
  <c r="U32" i="5" s="1"/>
  <c r="U33" i="5" s="1"/>
  <c r="U32" i="6" l="1"/>
  <c r="V25" i="7"/>
  <c r="E24" i="7"/>
  <c r="AO17" i="10" s="1"/>
  <c r="U37" i="5"/>
  <c r="U39" i="5" s="1"/>
  <c r="E25" i="7" l="1"/>
  <c r="V38" i="9"/>
  <c r="E38" i="9" s="1"/>
  <c r="V26" i="7"/>
  <c r="Z16" i="4"/>
  <c r="Z17" i="4" s="1"/>
  <c r="Z18" i="4" s="1"/>
  <c r="Z19" i="4" s="1"/>
  <c r="V27" i="7" l="1"/>
  <c r="V6" i="5"/>
  <c r="E19" i="1"/>
  <c r="V28" i="7"/>
  <c r="E28" i="7" s="1"/>
  <c r="E26" i="7"/>
  <c r="V39" i="9" l="1"/>
  <c r="V30" i="5"/>
  <c r="E27" i="7"/>
  <c r="AO18" i="10"/>
  <c r="V29" i="7"/>
  <c r="E29" i="7" l="1"/>
  <c r="V29" i="6"/>
  <c r="V31" i="5"/>
  <c r="E31" i="5" s="1"/>
  <c r="V9" i="5"/>
  <c r="E6" i="5"/>
  <c r="E30" i="5" l="1"/>
  <c r="E39" i="9"/>
  <c r="V40" i="9"/>
  <c r="V14" i="5"/>
  <c r="E9" i="5"/>
  <c r="E14" i="5" l="1"/>
  <c r="AO24" i="10" s="1"/>
  <c r="E25" i="1"/>
  <c r="V41" i="9"/>
  <c r="E10" i="1" s="1"/>
  <c r="E40" i="9"/>
  <c r="E29" i="6"/>
  <c r="V30" i="6"/>
  <c r="E30" i="6" l="1"/>
  <c r="AO22" i="10" s="1"/>
  <c r="E23" i="1"/>
  <c r="E41" i="9"/>
  <c r="V42" i="9"/>
  <c r="V43" i="9" l="1"/>
  <c r="E11" i="1" s="1"/>
  <c r="E42" i="9"/>
  <c r="E43" i="9" l="1"/>
  <c r="AO7" i="10" s="1"/>
  <c r="V45" i="9"/>
  <c r="V44" i="9"/>
  <c r="V6" i="6" s="1"/>
  <c r="V9" i="6" s="1"/>
  <c r="AA12" i="4" s="1"/>
  <c r="E12" i="4" s="1"/>
  <c r="V36" i="5" l="1"/>
  <c r="V37" i="5" s="1"/>
  <c r="W35" i="5"/>
  <c r="AA13" i="4"/>
  <c r="E13" i="4" s="1"/>
  <c r="V22" i="6"/>
  <c r="E12" i="1"/>
  <c r="E6" i="6"/>
  <c r="E44" i="9"/>
  <c r="W6" i="9"/>
  <c r="E45" i="9"/>
  <c r="AO8" i="10" s="1"/>
  <c r="W36" i="9"/>
  <c r="W24" i="7" s="1"/>
  <c r="E9" i="6"/>
  <c r="V20" i="6"/>
  <c r="E21" i="1" s="1"/>
  <c r="F35" i="5" l="1"/>
  <c r="E36" i="5"/>
  <c r="E37" i="5" s="1"/>
  <c r="V26" i="5"/>
  <c r="E22" i="6"/>
  <c r="V24" i="6"/>
  <c r="W25" i="7"/>
  <c r="W37" i="9"/>
  <c r="F6" i="9"/>
  <c r="E20" i="6"/>
  <c r="W26" i="7" l="1"/>
  <c r="W38" i="9"/>
  <c r="V27" i="5"/>
  <c r="E26" i="5"/>
  <c r="AA14" i="4"/>
  <c r="V26" i="6"/>
  <c r="E24" i="6"/>
  <c r="AO20" i="10"/>
  <c r="E14" i="4" l="1"/>
  <c r="AA16" i="4"/>
  <c r="V32" i="5"/>
  <c r="E27" i="5"/>
  <c r="E26" i="6"/>
  <c r="E22" i="1"/>
  <c r="V32" i="6"/>
  <c r="W6" i="5"/>
  <c r="W9" i="5" s="1"/>
  <c r="W14" i="5" s="1"/>
  <c r="W28" i="7"/>
  <c r="W27" i="7"/>
  <c r="AO21" i="10" l="1"/>
  <c r="E32" i="6"/>
  <c r="W39" i="9"/>
  <c r="W40" i="9" s="1"/>
  <c r="W41" i="9" s="1"/>
  <c r="W42" i="9" s="1"/>
  <c r="W30" i="5"/>
  <c r="W31" i="5" s="1"/>
  <c r="E27" i="1"/>
  <c r="V33" i="5"/>
  <c r="E32" i="5"/>
  <c r="AO26" i="10" s="1"/>
  <c r="AA17" i="4"/>
  <c r="E16" i="4"/>
  <c r="W29" i="7"/>
  <c r="W29" i="6" s="1"/>
  <c r="W30" i="6" s="1"/>
  <c r="E33" i="5" l="1"/>
  <c r="E39" i="5" s="1"/>
  <c r="V39" i="5"/>
  <c r="E17" i="4"/>
  <c r="AA18" i="4"/>
  <c r="W43" i="9"/>
  <c r="AA19" i="4" l="1"/>
  <c r="E19" i="4" s="1"/>
  <c r="E18" i="4"/>
  <c r="W45" i="9"/>
  <c r="W22" i="6" s="1"/>
  <c r="W26" i="5" s="1"/>
  <c r="W44" i="9"/>
  <c r="X6" i="9" l="1"/>
  <c r="W6" i="6"/>
  <c r="W24" i="6"/>
  <c r="X36" i="9"/>
  <c r="X24" i="7" s="1"/>
  <c r="W36" i="5" l="1"/>
  <c r="W37" i="5" s="1"/>
  <c r="X35" i="5"/>
  <c r="AB13" i="4"/>
  <c r="W9" i="6"/>
  <c r="W26" i="6"/>
  <c r="AB14" i="4"/>
  <c r="X37" i="9"/>
  <c r="X25" i="7"/>
  <c r="W27" i="5"/>
  <c r="W20" i="6" l="1"/>
  <c r="AB12" i="4"/>
  <c r="X26" i="7"/>
  <c r="X27" i="7" s="1"/>
  <c r="X38" i="9"/>
  <c r="W32" i="5"/>
  <c r="AB16" i="4"/>
  <c r="X6" i="5" l="1"/>
  <c r="X9" i="5" s="1"/>
  <c r="X28" i="7"/>
  <c r="K17" i="3"/>
  <c r="W32" i="6"/>
  <c r="W33" i="5"/>
  <c r="AB17" i="4"/>
  <c r="X39" i="9" l="1"/>
  <c r="X40" i="9" s="1"/>
  <c r="X30" i="5"/>
  <c r="X29" i="7"/>
  <c r="X29" i="6" s="1"/>
  <c r="W39" i="5"/>
  <c r="X14" i="5"/>
  <c r="AB18" i="4"/>
  <c r="X41" i="9" l="1"/>
  <c r="X30" i="6"/>
  <c r="X31" i="5"/>
  <c r="AB19" i="4"/>
  <c r="X42" i="9" l="1"/>
  <c r="X43" i="9" l="1"/>
  <c r="X44" i="9" l="1"/>
  <c r="X45" i="9"/>
  <c r="X22" i="6" s="1"/>
  <c r="X26" i="5" s="1"/>
  <c r="X24" i="6" l="1"/>
  <c r="Y6" i="9"/>
  <c r="X6" i="6"/>
  <c r="X9" i="6" s="1"/>
  <c r="Y36" i="9"/>
  <c r="Y24" i="7" s="1"/>
  <c r="X20" i="6" l="1"/>
  <c r="AC12" i="4"/>
  <c r="AC13" i="4"/>
  <c r="Y35" i="5"/>
  <c r="X36" i="5"/>
  <c r="X37" i="5" s="1"/>
  <c r="X26" i="6"/>
  <c r="AC14" i="4"/>
  <c r="Y37" i="9"/>
  <c r="Y25" i="7"/>
  <c r="X27" i="5"/>
  <c r="Y26" i="7" l="1"/>
  <c r="Y27" i="7" s="1"/>
  <c r="Y38" i="9"/>
  <c r="X32" i="6"/>
  <c r="AC16" i="4"/>
  <c r="AC17" i="4" s="1"/>
  <c r="X32" i="5"/>
  <c r="Y6" i="5" l="1"/>
  <c r="Y9" i="5" s="1"/>
  <c r="Y28" i="7"/>
  <c r="X33" i="5"/>
  <c r="AC18" i="4"/>
  <c r="Y39" i="9" l="1"/>
  <c r="Y40" i="9" s="1"/>
  <c r="Y30" i="5"/>
  <c r="Y29" i="7"/>
  <c r="Y29" i="6" s="1"/>
  <c r="X39" i="5"/>
  <c r="Y14" i="5"/>
  <c r="AC19" i="4"/>
  <c r="Y31" i="5" l="1"/>
  <c r="Y41" i="9"/>
  <c r="Y30" i="6" l="1"/>
  <c r="Y42" i="9"/>
  <c r="Y43" i="9" l="1"/>
  <c r="Y45" i="9" l="1"/>
  <c r="Y22" i="6" s="1"/>
  <c r="Y26" i="5" s="1"/>
  <c r="Y44" i="9"/>
  <c r="Y24" i="6" l="1"/>
  <c r="AD14" i="4" s="1"/>
  <c r="Z6" i="9"/>
  <c r="Y6" i="6"/>
  <c r="Y9" i="6" s="1"/>
  <c r="Z36" i="9"/>
  <c r="Z24" i="7" s="1"/>
  <c r="Y26" i="6" l="1"/>
  <c r="Y20" i="6"/>
  <c r="AD12" i="4"/>
  <c r="Y36" i="5"/>
  <c r="Y37" i="5" s="1"/>
  <c r="Z35" i="5"/>
  <c r="AD13" i="4"/>
  <c r="Z37" i="9"/>
  <c r="Z25" i="7"/>
  <c r="Y27" i="5"/>
  <c r="Y32" i="6" l="1"/>
  <c r="Z26" i="7"/>
  <c r="Z27" i="7" s="1"/>
  <c r="Z38" i="9"/>
  <c r="AD16" i="4"/>
  <c r="AD17" i="4" s="1"/>
  <c r="Y32" i="5"/>
  <c r="Z6" i="5" l="1"/>
  <c r="Z28" i="7"/>
  <c r="Y33" i="5"/>
  <c r="AD18" i="4"/>
  <c r="Z39" i="9" l="1"/>
  <c r="Z30" i="5"/>
  <c r="Z29" i="7"/>
  <c r="Z29" i="6" s="1"/>
  <c r="Z9" i="5"/>
  <c r="Y39" i="5"/>
  <c r="AD19" i="4"/>
  <c r="Z40" i="9" l="1"/>
  <c r="Z14" i="5"/>
  <c r="Z41" i="9" l="1"/>
  <c r="Z30" i="6"/>
  <c r="Z31" i="5"/>
  <c r="Z42" i="9" l="1"/>
  <c r="Z43" i="9" l="1"/>
  <c r="Z45" i="9" l="1"/>
  <c r="Z22" i="6" s="1"/>
  <c r="Z44" i="9"/>
  <c r="AA6" i="9" l="1"/>
  <c r="Z6" i="6"/>
  <c r="Z26" i="5"/>
  <c r="Z27" i="5" s="1"/>
  <c r="Z24" i="6"/>
  <c r="AA36" i="9"/>
  <c r="AA24" i="7" s="1"/>
  <c r="AA25" i="7" s="1"/>
  <c r="AA26" i="7" l="1"/>
  <c r="AA27" i="7" s="1"/>
  <c r="AA38" i="9"/>
  <c r="Z26" i="6"/>
  <c r="AE14" i="4"/>
  <c r="AE13" i="4"/>
  <c r="Z36" i="5"/>
  <c r="Z37" i="5" s="1"/>
  <c r="AA35" i="5"/>
  <c r="Z9" i="6"/>
  <c r="AA37" i="9"/>
  <c r="Z32" i="5"/>
  <c r="Z20" i="6" l="1"/>
  <c r="Z32" i="6" s="1"/>
  <c r="AE12" i="4"/>
  <c r="AE16" i="4" s="1"/>
  <c r="AE17" i="4" s="1"/>
  <c r="AE18" i="4" s="1"/>
  <c r="AA6" i="5"/>
  <c r="AA9" i="5" s="1"/>
  <c r="AA28" i="7"/>
  <c r="Z33" i="5"/>
  <c r="AA39" i="9" l="1"/>
  <c r="AA40" i="9" s="1"/>
  <c r="AA30" i="5"/>
  <c r="AA29" i="7"/>
  <c r="AA29" i="6" s="1"/>
  <c r="Z39" i="5"/>
  <c r="AA31" i="5"/>
  <c r="AA14" i="5"/>
  <c r="AE19" i="4"/>
  <c r="AA41" i="9" l="1"/>
  <c r="AA30" i="6"/>
  <c r="AA42" i="9" l="1"/>
  <c r="AA43" i="9" l="1"/>
  <c r="AA45" i="9" l="1"/>
  <c r="AA22" i="6" s="1"/>
  <c r="AA26" i="5" s="1"/>
  <c r="AA44" i="9"/>
  <c r="AA24" i="6" l="1"/>
  <c r="AA26" i="6" s="1"/>
  <c r="AB6" i="9"/>
  <c r="AA6" i="6"/>
  <c r="AB36" i="9"/>
  <c r="AF14" i="4" l="1"/>
  <c r="AA36" i="5"/>
  <c r="AA37" i="5" s="1"/>
  <c r="AB35" i="5"/>
  <c r="AF13" i="4"/>
  <c r="AA9" i="6"/>
  <c r="AB37" i="9"/>
  <c r="AB24" i="7"/>
  <c r="AB25" i="7" s="1"/>
  <c r="AA27" i="5"/>
  <c r="AB26" i="7" l="1"/>
  <c r="AB27" i="7" s="1"/>
  <c r="AB38" i="9"/>
  <c r="AA20" i="6"/>
  <c r="AA32" i="6" s="1"/>
  <c r="AF12" i="4"/>
  <c r="AF16" i="4" s="1"/>
  <c r="AF17" i="4" s="1"/>
  <c r="AA32" i="5"/>
  <c r="AB6" i="5" l="1"/>
  <c r="AB9" i="5" s="1"/>
  <c r="AB14" i="5" s="1"/>
  <c r="AB28" i="7"/>
  <c r="AA33" i="5"/>
  <c r="AF18" i="4"/>
  <c r="AB39" i="9" l="1"/>
  <c r="AB40" i="9" s="1"/>
  <c r="AB41" i="9" s="1"/>
  <c r="AB42" i="9" s="1"/>
  <c r="AB30" i="5"/>
  <c r="AB29" i="7"/>
  <c r="AB29" i="6" s="1"/>
  <c r="AA39" i="5"/>
  <c r="AF19" i="4"/>
  <c r="AB43" i="9" l="1"/>
  <c r="AB45" i="9" s="1"/>
  <c r="AB22" i="6" s="1"/>
  <c r="AB26" i="5" s="1"/>
  <c r="AB31" i="5"/>
  <c r="AC36" i="9" l="1"/>
  <c r="AB44" i="9"/>
  <c r="AB30" i="6"/>
  <c r="AB24" i="6"/>
  <c r="AB26" i="6" l="1"/>
  <c r="AG14" i="4"/>
  <c r="AC6" i="9"/>
  <c r="AB6" i="6"/>
  <c r="AB9" i="6" s="1"/>
  <c r="AC37" i="9"/>
  <c r="AC24" i="7"/>
  <c r="AB27" i="5"/>
  <c r="AB32" i="5" s="1"/>
  <c r="AB33" i="5" s="1"/>
  <c r="AB20" i="6" l="1"/>
  <c r="AB32" i="6" s="1"/>
  <c r="AG12" i="4"/>
  <c r="AB36" i="5"/>
  <c r="AB37" i="5" s="1"/>
  <c r="AB39" i="5" s="1"/>
  <c r="AC35" i="5"/>
  <c r="AG13" i="4"/>
  <c r="AC25" i="7"/>
  <c r="AC26" i="7" l="1"/>
  <c r="AC27" i="7" s="1"/>
  <c r="AC38" i="9"/>
  <c r="AG16" i="4"/>
  <c r="AG17" i="4" s="1"/>
  <c r="AG18" i="4" s="1"/>
  <c r="AG19" i="4" s="1"/>
  <c r="AC6" i="5" l="1"/>
  <c r="AC9" i="5" s="1"/>
  <c r="AC14" i="5" s="1"/>
  <c r="AC28" i="7"/>
  <c r="AC39" i="9" l="1"/>
  <c r="AC40" i="9" s="1"/>
  <c r="AC41" i="9" s="1"/>
  <c r="AC42" i="9" s="1"/>
  <c r="AC30" i="5"/>
  <c r="AC31" i="5" s="1"/>
  <c r="AC29" i="7"/>
  <c r="AC29" i="6" s="1"/>
  <c r="AC30" i="6" s="1"/>
  <c r="AC43" i="9" l="1"/>
  <c r="AC45" i="9" s="1"/>
  <c r="AC44" i="9" l="1"/>
  <c r="AC22" i="6"/>
  <c r="AD36" i="9"/>
  <c r="AD37" i="9" l="1"/>
  <c r="AD24" i="7"/>
  <c r="AD25" i="7" s="1"/>
  <c r="AC26" i="5"/>
  <c r="AC27" i="5" s="1"/>
  <c r="AC32" i="5" s="1"/>
  <c r="AC33" i="5" s="1"/>
  <c r="AC24" i="6"/>
  <c r="AD6" i="9"/>
  <c r="AC6" i="6"/>
  <c r="AC36" i="5" l="1"/>
  <c r="AC37" i="5" s="1"/>
  <c r="AC39" i="5" s="1"/>
  <c r="AD35" i="5"/>
  <c r="AH13" i="4"/>
  <c r="AC9" i="6"/>
  <c r="AC26" i="6"/>
  <c r="AH14" i="4"/>
  <c r="AD26" i="7"/>
  <c r="AD38" i="9"/>
  <c r="AC20" i="6" l="1"/>
  <c r="AC32" i="6" s="1"/>
  <c r="AH12" i="4"/>
  <c r="AH16" i="4" s="1"/>
  <c r="AH17" i="4" s="1"/>
  <c r="AH18" i="4" s="1"/>
  <c r="AH19" i="4" s="1"/>
  <c r="AD6" i="5"/>
  <c r="AD9" i="5" s="1"/>
  <c r="AD14" i="5" s="1"/>
  <c r="AD28" i="7"/>
  <c r="AD27" i="7"/>
  <c r="AD39" i="9" l="1"/>
  <c r="AD40" i="9" s="1"/>
  <c r="AD41" i="9" s="1"/>
  <c r="AD42" i="9" s="1"/>
  <c r="AD43" i="9" s="1"/>
  <c r="AD45" i="9" s="1"/>
  <c r="AD22" i="6" s="1"/>
  <c r="AD30" i="5"/>
  <c r="AD31" i="5" s="1"/>
  <c r="AD29" i="7"/>
  <c r="AD29" i="6" s="1"/>
  <c r="AD30" i="6" s="1"/>
  <c r="AD44" i="9" l="1"/>
  <c r="AE6" i="9" s="1"/>
  <c r="AE36" i="9"/>
  <c r="AE37" i="9" s="1"/>
  <c r="AD26" i="5"/>
  <c r="AD27" i="5" s="1"/>
  <c r="AD32" i="5" s="1"/>
  <c r="AD33" i="5" s="1"/>
  <c r="AD24" i="6"/>
  <c r="AE24" i="7" l="1"/>
  <c r="AE25" i="7" s="1"/>
  <c r="AE38" i="9" s="1"/>
  <c r="AD6" i="6"/>
  <c r="AD9" i="6" s="1"/>
  <c r="AD20" i="6" s="1"/>
  <c r="AD26" i="6"/>
  <c r="AI14" i="4"/>
  <c r="AI13" i="4" l="1"/>
  <c r="AD36" i="5"/>
  <c r="AD37" i="5" s="1"/>
  <c r="AD39" i="5" s="1"/>
  <c r="AE35" i="5"/>
  <c r="AI12" i="4"/>
  <c r="AE26" i="7"/>
  <c r="AE27" i="7" s="1"/>
  <c r="AD32" i="6"/>
  <c r="AE28" i="7" l="1"/>
  <c r="AE30" i="5" s="1"/>
  <c r="AI16" i="4"/>
  <c r="AI17" i="4" s="1"/>
  <c r="AI18" i="4" s="1"/>
  <c r="AI19" i="4" s="1"/>
  <c r="AE6" i="5"/>
  <c r="AE9" i="5" s="1"/>
  <c r="AE14" i="5" s="1"/>
  <c r="AE39" i="9" l="1"/>
  <c r="AE40" i="9" s="1"/>
  <c r="AE41" i="9" s="1"/>
  <c r="AE42" i="9" s="1"/>
  <c r="AE43" i="9" s="1"/>
  <c r="AE45" i="9" s="1"/>
  <c r="AE22" i="6" s="1"/>
  <c r="AE26" i="5" s="1"/>
  <c r="AE29" i="7"/>
  <c r="AE29" i="6" s="1"/>
  <c r="AE31" i="5"/>
  <c r="AF36" i="9" l="1"/>
  <c r="AE44" i="9"/>
  <c r="AE30" i="6"/>
  <c r="AE24" i="6"/>
  <c r="AE26" i="6" l="1"/>
  <c r="AJ14" i="4"/>
  <c r="AF6" i="9"/>
  <c r="AE6" i="6"/>
  <c r="AF37" i="9"/>
  <c r="AF24" i="7"/>
  <c r="AE27" i="5"/>
  <c r="AE32" i="5" s="1"/>
  <c r="AE33" i="5" s="1"/>
  <c r="AE36" i="5" l="1"/>
  <c r="AE37" i="5" s="1"/>
  <c r="AE39" i="5" s="1"/>
  <c r="AF35" i="5"/>
  <c r="AJ13" i="4"/>
  <c r="AF25" i="7"/>
  <c r="AE9" i="6"/>
  <c r="AF26" i="7" l="1"/>
  <c r="AF27" i="7" s="1"/>
  <c r="AF38" i="9"/>
  <c r="AE20" i="6"/>
  <c r="AE32" i="6" s="1"/>
  <c r="AJ12" i="4"/>
  <c r="AJ16" i="4" s="1"/>
  <c r="AJ17" i="4" s="1"/>
  <c r="AJ18" i="4" s="1"/>
  <c r="AJ19" i="4" s="1"/>
  <c r="AF6" i="5" l="1"/>
  <c r="AF9" i="5" s="1"/>
  <c r="AF14" i="5" s="1"/>
  <c r="AF28" i="7"/>
  <c r="AF39" i="9" l="1"/>
  <c r="AF40" i="9" s="1"/>
  <c r="AF41" i="9" s="1"/>
  <c r="AF42" i="9" s="1"/>
  <c r="AF30" i="5"/>
  <c r="AF31" i="5" s="1"/>
  <c r="AF29" i="7"/>
  <c r="AF29" i="6" s="1"/>
  <c r="AF43" i="9" l="1"/>
  <c r="AF45" i="9" s="1"/>
  <c r="AF22" i="6" s="1"/>
  <c r="AF26" i="5" s="1"/>
  <c r="AF30" i="6"/>
  <c r="AF44" i="9" l="1"/>
  <c r="AG36" i="9"/>
  <c r="AG37" i="9" l="1"/>
  <c r="AG24" i="7"/>
  <c r="AG6" i="9"/>
  <c r="AF6" i="6"/>
  <c r="AF9" i="6" s="1"/>
  <c r="AK13" i="4" l="1"/>
  <c r="AF36" i="5"/>
  <c r="AG35" i="5"/>
  <c r="AF20" i="6"/>
  <c r="AK12" i="4"/>
  <c r="AF24" i="6"/>
  <c r="AF26" i="6" l="1"/>
  <c r="AF32" i="6" s="1"/>
  <c r="AK14" i="4"/>
  <c r="AF37" i="5"/>
  <c r="AF27" i="5"/>
  <c r="AF32" i="5" s="1"/>
  <c r="AF33" i="5" s="1"/>
  <c r="AF39" i="5" l="1"/>
  <c r="AG25" i="7"/>
  <c r="AK16" i="4"/>
  <c r="AK17" i="4" s="1"/>
  <c r="AK18" i="4" s="1"/>
  <c r="AK19" i="4" s="1"/>
  <c r="AG26" i="7" l="1"/>
  <c r="AG27" i="7" s="1"/>
  <c r="AG38" i="9"/>
  <c r="AG6" i="5" l="1"/>
  <c r="AG9" i="5" s="1"/>
  <c r="AG14" i="5" s="1"/>
  <c r="AG28" i="7"/>
  <c r="AG39" i="9" l="1"/>
  <c r="AG40" i="9" s="1"/>
  <c r="AG41" i="9" s="1"/>
  <c r="AG42" i="9" s="1"/>
  <c r="AG43" i="9" s="1"/>
  <c r="AG45" i="9" s="1"/>
  <c r="AG22" i="6" s="1"/>
  <c r="AG26" i="5" s="1"/>
  <c r="AG30" i="5"/>
  <c r="AG29" i="7"/>
  <c r="AG29" i="6" s="1"/>
  <c r="AG31" i="5" l="1"/>
  <c r="AH36" i="9"/>
  <c r="AH24" i="7" s="1"/>
  <c r="G18" i="1" s="1"/>
  <c r="AG44" i="9"/>
  <c r="AG30" i="6"/>
  <c r="AH6" i="9" l="1"/>
  <c r="AG6" i="6"/>
  <c r="AH37" i="9"/>
  <c r="F36" i="9"/>
  <c r="AG36" i="5" l="1"/>
  <c r="AH35" i="5"/>
  <c r="AL13" i="4"/>
  <c r="F37" i="9"/>
  <c r="AG9" i="6" l="1"/>
  <c r="AG20" i="6" l="1"/>
  <c r="AL12" i="4"/>
  <c r="AG24" i="6"/>
  <c r="AG26" i="6" l="1"/>
  <c r="AG32" i="6" s="1"/>
  <c r="AL14" i="4"/>
  <c r="AG37" i="5"/>
  <c r="AG27" i="5"/>
  <c r="AG32" i="5" s="1"/>
  <c r="AG33" i="5" s="1"/>
  <c r="AG39" i="5" l="1"/>
  <c r="AH25" i="7"/>
  <c r="F24" i="7"/>
  <c r="AQ17" i="10" s="1"/>
  <c r="AL16" i="4"/>
  <c r="AL17" i="4" s="1"/>
  <c r="AL18" i="4" s="1"/>
  <c r="AL19" i="4" s="1"/>
  <c r="F25" i="7" l="1"/>
  <c r="AH38" i="9"/>
  <c r="AH26" i="7"/>
  <c r="I18" i="1"/>
  <c r="H18" i="1"/>
  <c r="AH27" i="7" l="1"/>
  <c r="AH6" i="5"/>
  <c r="AH28" i="7"/>
  <c r="G19" i="1"/>
  <c r="F26" i="7"/>
  <c r="F38" i="9"/>
  <c r="AH39" i="9" l="1"/>
  <c r="AH30" i="5"/>
  <c r="F28" i="7"/>
  <c r="AH29" i="7"/>
  <c r="F27" i="7"/>
  <c r="K26" i="3"/>
  <c r="AV30" i="10"/>
  <c r="AQ18" i="10"/>
  <c r="N27" i="4"/>
  <c r="I19" i="1"/>
  <c r="F29" i="7" l="1"/>
  <c r="AH29" i="6"/>
  <c r="H19" i="1"/>
  <c r="AH31" i="5"/>
  <c r="F31" i="5" s="1"/>
  <c r="F30" i="5"/>
  <c r="AH9" i="5"/>
  <c r="F6" i="5"/>
  <c r="N28" i="4"/>
  <c r="G33" i="1" s="1"/>
  <c r="F39" i="9" l="1"/>
  <c r="AH40" i="9"/>
  <c r="F29" i="6"/>
  <c r="AH30" i="6"/>
  <c r="AH14" i="5"/>
  <c r="F9" i="5"/>
  <c r="F30" i="6" l="1"/>
  <c r="AQ22" i="10" s="1"/>
  <c r="G23" i="1"/>
  <c r="F14" i="5"/>
  <c r="AQ24" i="10" s="1"/>
  <c r="G25" i="1"/>
  <c r="H25" i="1" s="1"/>
  <c r="AH41" i="9"/>
  <c r="G10" i="1" s="1"/>
  <c r="F40" i="9"/>
  <c r="I25" i="1" l="1"/>
  <c r="F41" i="9"/>
  <c r="AH42" i="9"/>
  <c r="H23" i="1"/>
  <c r="I23" i="1"/>
  <c r="F42" i="9" l="1"/>
  <c r="AH43" i="9"/>
  <c r="G11" i="1" s="1"/>
  <c r="I10" i="1"/>
  <c r="H10" i="1"/>
  <c r="F43" i="9" l="1"/>
  <c r="AQ7" i="10" s="1"/>
  <c r="AH45" i="9"/>
  <c r="AH44" i="9"/>
  <c r="AH6" i="6" s="1"/>
  <c r="I11" i="1"/>
  <c r="H11" i="1"/>
  <c r="AH36" i="5" l="1"/>
  <c r="AI35" i="5"/>
  <c r="AM13" i="4"/>
  <c r="AH22" i="6"/>
  <c r="AH26" i="5" s="1"/>
  <c r="G12" i="1"/>
  <c r="H12" i="1" s="1"/>
  <c r="AI36" i="9"/>
  <c r="AI24" i="7" s="1"/>
  <c r="F45" i="9"/>
  <c r="AQ8" i="10" s="1"/>
  <c r="F44" i="9"/>
  <c r="AI6" i="9"/>
  <c r="AH9" i="6"/>
  <c r="AM12" i="4" s="1"/>
  <c r="F6" i="6"/>
  <c r="F36" i="5" l="1"/>
  <c r="H27" i="4"/>
  <c r="G35" i="5"/>
  <c r="G6" i="9"/>
  <c r="I12" i="1"/>
  <c r="AI37" i="9"/>
  <c r="AI25" i="7"/>
  <c r="AH20" i="6"/>
  <c r="G21" i="1" s="1"/>
  <c r="F9" i="6"/>
  <c r="F22" i="6"/>
  <c r="AH24" i="6"/>
  <c r="AM14" i="4" s="1"/>
  <c r="G14" i="4" s="1"/>
  <c r="AH27" i="5"/>
  <c r="F26" i="5"/>
  <c r="G13" i="4"/>
  <c r="AH37" i="5"/>
  <c r="H26" i="4" l="1"/>
  <c r="CC14" i="1"/>
  <c r="CA14" i="1" s="1"/>
  <c r="CC10" i="1"/>
  <c r="CA10" i="1" s="1"/>
  <c r="CC11" i="1"/>
  <c r="CA11" i="1" s="1"/>
  <c r="CC13" i="1"/>
  <c r="CA13" i="1" s="1"/>
  <c r="CC9" i="1"/>
  <c r="CA9" i="1" s="1"/>
  <c r="AI26" i="7"/>
  <c r="AI27" i="7" s="1"/>
  <c r="AI38" i="9"/>
  <c r="AH26" i="6"/>
  <c r="F24" i="6"/>
  <c r="K14" i="3" s="1"/>
  <c r="F20" i="6"/>
  <c r="F37" i="5"/>
  <c r="AH32" i="5"/>
  <c r="G27" i="1" s="1"/>
  <c r="F27" i="5"/>
  <c r="AM16" i="4"/>
  <c r="G12" i="4"/>
  <c r="G34" i="3" l="1"/>
  <c r="AQ20" i="10"/>
  <c r="AI14" i="3"/>
  <c r="G46" i="3"/>
  <c r="G40" i="3"/>
  <c r="G37" i="3"/>
  <c r="F26" i="6"/>
  <c r="AL19" i="10" s="1"/>
  <c r="G22" i="1"/>
  <c r="I22" i="1" s="1"/>
  <c r="AI6" i="5"/>
  <c r="AI28" i="7"/>
  <c r="K11" i="3"/>
  <c r="AH32" i="6"/>
  <c r="AH33" i="5"/>
  <c r="F32" i="5"/>
  <c r="AQ26" i="10" s="1"/>
  <c r="AM17" i="4"/>
  <c r="G16" i="4"/>
  <c r="H21" i="1"/>
  <c r="I21" i="1"/>
  <c r="AQ21" i="10" l="1"/>
  <c r="K20" i="3"/>
  <c r="AI39" i="9"/>
  <c r="AI40" i="9" s="1"/>
  <c r="AI30" i="5"/>
  <c r="H22" i="1"/>
  <c r="AI29" i="7"/>
  <c r="AI29" i="6" s="1"/>
  <c r="F32" i="6"/>
  <c r="AI9" i="5"/>
  <c r="AH39" i="5"/>
  <c r="F33" i="5"/>
  <c r="F39" i="5" s="1"/>
  <c r="AM18" i="4"/>
  <c r="G17" i="4"/>
  <c r="AI17" i="3"/>
  <c r="H46" i="3"/>
  <c r="H40" i="3"/>
  <c r="H37" i="3"/>
  <c r="H34" i="3"/>
  <c r="I27" i="1"/>
  <c r="H27" i="1"/>
  <c r="AI41" i="9" l="1"/>
  <c r="AI14" i="5"/>
  <c r="AM19" i="4"/>
  <c r="G18" i="4"/>
  <c r="AI42" i="9" l="1"/>
  <c r="AI30" i="6"/>
  <c r="AI31" i="5"/>
  <c r="G19" i="4"/>
  <c r="AI43" i="9" l="1"/>
  <c r="AI45" i="9" l="1"/>
  <c r="AI22" i="6" s="1"/>
  <c r="AI26" i="5" s="1"/>
  <c r="AI44" i="9"/>
  <c r="AI24" i="6" l="1"/>
  <c r="AI26" i="6" s="1"/>
  <c r="AJ6" i="9"/>
  <c r="AI6" i="6"/>
  <c r="AJ36" i="9"/>
  <c r="AJ24" i="7" s="1"/>
  <c r="AI27" i="5"/>
  <c r="AN14" i="4" l="1"/>
  <c r="AI36" i="5"/>
  <c r="AI37" i="5" s="1"/>
  <c r="AJ35" i="5"/>
  <c r="AN13" i="4"/>
  <c r="AI9" i="6"/>
  <c r="AJ37" i="9"/>
  <c r="AJ25" i="7"/>
  <c r="AI32" i="5"/>
  <c r="AJ26" i="7" l="1"/>
  <c r="AJ27" i="7" s="1"/>
  <c r="AJ38" i="9"/>
  <c r="AI20" i="6"/>
  <c r="AI32" i="6" s="1"/>
  <c r="AN12" i="4"/>
  <c r="AN16" i="4" s="1"/>
  <c r="AN17" i="4" s="1"/>
  <c r="AN18" i="4" s="1"/>
  <c r="AI33" i="5"/>
  <c r="AJ6" i="5" l="1"/>
  <c r="AJ9" i="5" s="1"/>
  <c r="AJ14" i="5" s="1"/>
  <c r="AJ28" i="7"/>
  <c r="AI39" i="5"/>
  <c r="AN19" i="4"/>
  <c r="AJ39" i="9" l="1"/>
  <c r="AJ40" i="9" s="1"/>
  <c r="AJ30" i="5"/>
  <c r="AJ31" i="5" s="1"/>
  <c r="AJ29" i="7"/>
  <c r="AJ29" i="6" s="1"/>
  <c r="AJ30" i="6" s="1"/>
  <c r="AJ41" i="9" l="1"/>
  <c r="AJ42" i="9" l="1"/>
  <c r="AJ43" i="9" l="1"/>
  <c r="AJ45" i="9" l="1"/>
  <c r="AJ22" i="6" s="1"/>
  <c r="AJ44" i="9"/>
  <c r="AK6" i="9" l="1"/>
  <c r="AJ6" i="6"/>
  <c r="AJ26" i="5"/>
  <c r="AJ27" i="5" s="1"/>
  <c r="AJ32" i="5" s="1"/>
  <c r="AJ24" i="6"/>
  <c r="AK36" i="9"/>
  <c r="AK24" i="7" s="1"/>
  <c r="AJ26" i="6" l="1"/>
  <c r="AO14" i="4"/>
  <c r="AK25" i="7"/>
  <c r="AJ36" i="5"/>
  <c r="AJ37" i="5" s="1"/>
  <c r="AK35" i="5"/>
  <c r="AO13" i="4"/>
  <c r="AJ9" i="6"/>
  <c r="AJ33" i="5"/>
  <c r="AK37" i="9"/>
  <c r="AK26" i="7" l="1"/>
  <c r="AK38" i="9"/>
  <c r="AJ20" i="6"/>
  <c r="AJ32" i="6" s="1"/>
  <c r="AO12" i="4"/>
  <c r="AO16" i="4" s="1"/>
  <c r="AO17" i="4" s="1"/>
  <c r="AO18" i="4" s="1"/>
  <c r="AO19" i="4" s="1"/>
  <c r="AJ39" i="5"/>
  <c r="AK6" i="5" l="1"/>
  <c r="AK9" i="5" s="1"/>
  <c r="AK14" i="5" s="1"/>
  <c r="AK28" i="7"/>
  <c r="AK27" i="7"/>
  <c r="AK39" i="9" l="1"/>
  <c r="AK40" i="9" s="1"/>
  <c r="AK41" i="9" s="1"/>
  <c r="AK42" i="9" s="1"/>
  <c r="AK30" i="5"/>
  <c r="AK31" i="5" s="1"/>
  <c r="AK29" i="7"/>
  <c r="AK29" i="6" s="1"/>
  <c r="AK30" i="6" s="1"/>
  <c r="AK43" i="9" l="1"/>
  <c r="AK45" i="9" l="1"/>
  <c r="AK22" i="6" s="1"/>
  <c r="AK44" i="9"/>
  <c r="AL6" i="9" l="1"/>
  <c r="AK6" i="6"/>
  <c r="AK26" i="5"/>
  <c r="AK27" i="5" s="1"/>
  <c r="AK32" i="5" s="1"/>
  <c r="AK24" i="6"/>
  <c r="AL36" i="9"/>
  <c r="AL24" i="7" s="1"/>
  <c r="AL25" i="7" s="1"/>
  <c r="AK33" i="5" l="1"/>
  <c r="AL26" i="7"/>
  <c r="AL38" i="9"/>
  <c r="AK36" i="5"/>
  <c r="AK37" i="5" s="1"/>
  <c r="AL35" i="5"/>
  <c r="AP13" i="4"/>
  <c r="AK9" i="6"/>
  <c r="AK26" i="6"/>
  <c r="AP14" i="4"/>
  <c r="AL37" i="9"/>
  <c r="AK20" i="6" l="1"/>
  <c r="AK32" i="6" s="1"/>
  <c r="AP12" i="4"/>
  <c r="AP16" i="4" s="1"/>
  <c r="AP17" i="4" s="1"/>
  <c r="AP18" i="4" s="1"/>
  <c r="AP19" i="4" s="1"/>
  <c r="AL6" i="5"/>
  <c r="AL9" i="5" s="1"/>
  <c r="AL14" i="5" s="1"/>
  <c r="AL28" i="7"/>
  <c r="AL29" i="7" s="1"/>
  <c r="AL29" i="6" s="1"/>
  <c r="AL30" i="6" s="1"/>
  <c r="AL27" i="7"/>
  <c r="AK39" i="5"/>
  <c r="AL39" i="9" l="1"/>
  <c r="AL40" i="9" s="1"/>
  <c r="AL41" i="9" s="1"/>
  <c r="AL30" i="5"/>
  <c r="AL31" i="5" s="1"/>
  <c r="AL42" i="9" l="1"/>
  <c r="AL43" i="9" l="1"/>
  <c r="AL45" i="9" l="1"/>
  <c r="AL22" i="6" s="1"/>
  <c r="AL44" i="9"/>
  <c r="AM6" i="9" l="1"/>
  <c r="AL6" i="6"/>
  <c r="AL26" i="5"/>
  <c r="AL27" i="5" s="1"/>
  <c r="AL32" i="5" s="1"/>
  <c r="AL24" i="6"/>
  <c r="AM36" i="9"/>
  <c r="AM24" i="7" s="1"/>
  <c r="AM25" i="7" s="1"/>
  <c r="AL26" i="6" l="1"/>
  <c r="AQ14" i="4"/>
  <c r="AM26" i="7"/>
  <c r="AM38" i="9"/>
  <c r="AL36" i="5"/>
  <c r="AL37" i="5" s="1"/>
  <c r="AM35" i="5"/>
  <c r="AQ13" i="4"/>
  <c r="AL9" i="6"/>
  <c r="AL33" i="5"/>
  <c r="AM37" i="9"/>
  <c r="AL39" i="5" l="1"/>
  <c r="AL20" i="6"/>
  <c r="AL32" i="6" s="1"/>
  <c r="AQ12" i="4"/>
  <c r="AQ16" i="4" s="1"/>
  <c r="AQ17" i="4" s="1"/>
  <c r="AQ18" i="4" s="1"/>
  <c r="AQ19" i="4" s="1"/>
  <c r="AM6" i="5"/>
  <c r="AM9" i="5" s="1"/>
  <c r="AM14" i="5" s="1"/>
  <c r="AM28" i="7"/>
  <c r="AM27" i="7"/>
  <c r="AM39" i="9" l="1"/>
  <c r="AM40" i="9" s="1"/>
  <c r="AM41" i="9" s="1"/>
  <c r="AM30" i="5"/>
  <c r="AM31" i="5" s="1"/>
  <c r="AM29" i="7"/>
  <c r="AM29" i="6" s="1"/>
  <c r="AM30" i="6" s="1"/>
  <c r="AM42" i="9" l="1"/>
  <c r="AM43" i="9" l="1"/>
  <c r="AM45" i="9" l="1"/>
  <c r="AM22" i="6" s="1"/>
  <c r="AM44" i="9"/>
  <c r="AN6" i="9" l="1"/>
  <c r="AM6" i="6"/>
  <c r="AM26" i="5"/>
  <c r="AM27" i="5" s="1"/>
  <c r="AM32" i="5" s="1"/>
  <c r="AM33" i="5" s="1"/>
  <c r="AM24" i="6"/>
  <c r="AN36" i="9"/>
  <c r="AM26" i="6" l="1"/>
  <c r="AR14" i="4"/>
  <c r="AN37" i="9"/>
  <c r="AN24" i="7"/>
  <c r="AN25" i="7" s="1"/>
  <c r="AM36" i="5"/>
  <c r="AM37" i="5" s="1"/>
  <c r="AM39" i="5" s="1"/>
  <c r="AN35" i="5"/>
  <c r="AR13" i="4"/>
  <c r="AM9" i="6"/>
  <c r="AM20" i="6" l="1"/>
  <c r="AM32" i="6" s="1"/>
  <c r="AR12" i="4"/>
  <c r="AR16" i="4" s="1"/>
  <c r="AR17" i="4" s="1"/>
  <c r="AR18" i="4" s="1"/>
  <c r="AR19" i="4" s="1"/>
  <c r="AN26" i="7"/>
  <c r="AN38" i="9"/>
  <c r="AN6" i="5" l="1"/>
  <c r="AN9" i="5" s="1"/>
  <c r="AN14" i="5" s="1"/>
  <c r="AN28" i="7"/>
  <c r="AN27" i="7"/>
  <c r="AN39" i="9" l="1"/>
  <c r="AN40" i="9" s="1"/>
  <c r="AN41" i="9" s="1"/>
  <c r="AN42" i="9" s="1"/>
  <c r="AN30" i="5"/>
  <c r="AN31" i="5" s="1"/>
  <c r="AN29" i="7"/>
  <c r="AN29" i="6" s="1"/>
  <c r="AN30" i="6" s="1"/>
  <c r="AN43" i="9" l="1"/>
  <c r="AN45" i="9" s="1"/>
  <c r="AN44" i="9" l="1"/>
  <c r="AN22" i="6"/>
  <c r="AO36" i="9"/>
  <c r="AO37" i="9" l="1"/>
  <c r="AO24" i="7"/>
  <c r="AO25" i="7" s="1"/>
  <c r="AN26" i="5"/>
  <c r="AN27" i="5" s="1"/>
  <c r="AN32" i="5" s="1"/>
  <c r="AN33" i="5" s="1"/>
  <c r="AN24" i="6"/>
  <c r="AO6" i="9"/>
  <c r="AN6" i="6"/>
  <c r="AS13" i="4" l="1"/>
  <c r="AN36" i="5"/>
  <c r="AN37" i="5" s="1"/>
  <c r="AN39" i="5" s="1"/>
  <c r="AO35" i="5"/>
  <c r="AN9" i="6"/>
  <c r="AO26" i="7"/>
  <c r="AO38" i="9"/>
  <c r="AN26" i="6"/>
  <c r="AS14" i="4"/>
  <c r="AO6" i="5" l="1"/>
  <c r="AO9" i="5" s="1"/>
  <c r="AO14" i="5" s="1"/>
  <c r="AO28" i="7"/>
  <c r="AO27" i="7"/>
  <c r="AN20" i="6"/>
  <c r="AN32" i="6" s="1"/>
  <c r="AS12" i="4"/>
  <c r="AS16" i="4" s="1"/>
  <c r="AS17" i="4" s="1"/>
  <c r="AS18" i="4" s="1"/>
  <c r="AS19" i="4" s="1"/>
  <c r="AO39" i="9" l="1"/>
  <c r="AO40" i="9" s="1"/>
  <c r="AO41" i="9" s="1"/>
  <c r="AO42" i="9" s="1"/>
  <c r="AO30" i="5"/>
  <c r="AO31" i="5" s="1"/>
  <c r="AO29" i="7"/>
  <c r="AO29" i="6" s="1"/>
  <c r="AO30" i="6" s="1"/>
  <c r="AO43" i="9" l="1"/>
  <c r="AO45" i="9" s="1"/>
  <c r="AO44" i="9" l="1"/>
  <c r="AO22" i="6"/>
  <c r="AP36" i="9"/>
  <c r="AP37" i="9" l="1"/>
  <c r="AP24" i="7"/>
  <c r="AP25" i="7" s="1"/>
  <c r="AO26" i="5"/>
  <c r="AO27" i="5" s="1"/>
  <c r="AO32" i="5" s="1"/>
  <c r="AO33" i="5" s="1"/>
  <c r="AO24" i="6"/>
  <c r="AP6" i="9"/>
  <c r="AO6" i="6"/>
  <c r="AO36" i="5" l="1"/>
  <c r="AO37" i="5" s="1"/>
  <c r="AO39" i="5" s="1"/>
  <c r="AP35" i="5"/>
  <c r="AT13" i="4"/>
  <c r="AO9" i="6"/>
  <c r="AP26" i="7"/>
  <c r="AP38" i="9"/>
  <c r="AO26" i="6"/>
  <c r="AT14" i="4"/>
  <c r="AP6" i="5" l="1"/>
  <c r="AP9" i="5" s="1"/>
  <c r="AP14" i="5" s="1"/>
  <c r="AP28" i="7"/>
  <c r="AP27" i="7"/>
  <c r="AO20" i="6"/>
  <c r="AO32" i="6" s="1"/>
  <c r="AT12" i="4"/>
  <c r="AT16" i="4" s="1"/>
  <c r="AT17" i="4" s="1"/>
  <c r="AT18" i="4" s="1"/>
  <c r="AT19" i="4" s="1"/>
  <c r="AP39" i="9" l="1"/>
  <c r="AP40" i="9" s="1"/>
  <c r="AP41" i="9" s="1"/>
  <c r="AP42" i="9" s="1"/>
  <c r="AP30" i="5"/>
  <c r="AP31" i="5" s="1"/>
  <c r="AP29" i="7"/>
  <c r="AP29" i="6" s="1"/>
  <c r="AP30" i="6" s="1"/>
  <c r="AP43" i="9" l="1"/>
  <c r="AP45" i="9" s="1"/>
  <c r="AP44" i="9" l="1"/>
  <c r="AP22" i="6"/>
  <c r="AQ36" i="9"/>
  <c r="AP26" i="5" l="1"/>
  <c r="AP27" i="5" s="1"/>
  <c r="AP32" i="5" s="1"/>
  <c r="AP33" i="5" s="1"/>
  <c r="AP24" i="6"/>
  <c r="AQ37" i="9"/>
  <c r="AQ24" i="7"/>
  <c r="AQ25" i="7" s="1"/>
  <c r="AQ6" i="9"/>
  <c r="AP6" i="6"/>
  <c r="AQ26" i="7" l="1"/>
  <c r="AQ38" i="9"/>
  <c r="AP26" i="6"/>
  <c r="AU14" i="4"/>
  <c r="AP36" i="5"/>
  <c r="AP37" i="5" s="1"/>
  <c r="AP39" i="5" s="1"/>
  <c r="AQ35" i="5"/>
  <c r="AU13" i="4"/>
  <c r="AP9" i="6"/>
  <c r="AP20" i="6" l="1"/>
  <c r="AP32" i="6" s="1"/>
  <c r="AU12" i="4"/>
  <c r="AU16" i="4" s="1"/>
  <c r="AU17" i="4" s="1"/>
  <c r="AU18" i="4" s="1"/>
  <c r="AU19" i="4" s="1"/>
  <c r="AQ6" i="5"/>
  <c r="AQ9" i="5" s="1"/>
  <c r="AQ14" i="5" s="1"/>
  <c r="AQ28" i="7"/>
  <c r="AQ29" i="7" s="1"/>
  <c r="AQ29" i="6" s="1"/>
  <c r="AQ30" i="6" s="1"/>
  <c r="AQ27" i="7"/>
  <c r="AQ39" i="9" l="1"/>
  <c r="AQ40" i="9" s="1"/>
  <c r="AQ41" i="9" s="1"/>
  <c r="AQ42" i="9" s="1"/>
  <c r="AQ30" i="5"/>
  <c r="AQ31" i="5" s="1"/>
  <c r="AQ43" i="9" l="1"/>
  <c r="AQ45" i="9" s="1"/>
  <c r="AQ44" i="9" l="1"/>
  <c r="AQ22" i="6"/>
  <c r="AR36" i="9"/>
  <c r="AQ26" i="5" l="1"/>
  <c r="AQ27" i="5" s="1"/>
  <c r="AQ32" i="5" s="1"/>
  <c r="AQ33" i="5" s="1"/>
  <c r="AQ24" i="6"/>
  <c r="AR37" i="9"/>
  <c r="AR24" i="7"/>
  <c r="AR25" i="7" s="1"/>
  <c r="AR6" i="9"/>
  <c r="AQ6" i="6"/>
  <c r="AQ36" i="5" l="1"/>
  <c r="AQ37" i="5" s="1"/>
  <c r="AQ39" i="5" s="1"/>
  <c r="AR35" i="5"/>
  <c r="AV13" i="4"/>
  <c r="AQ9" i="6"/>
  <c r="AR26" i="7"/>
  <c r="AR38" i="9"/>
  <c r="AQ26" i="6"/>
  <c r="AV14" i="4"/>
  <c r="AQ20" i="6" l="1"/>
  <c r="AQ32" i="6" s="1"/>
  <c r="AV12" i="4"/>
  <c r="AV16" i="4" s="1"/>
  <c r="AV17" i="4" s="1"/>
  <c r="AV18" i="4" s="1"/>
  <c r="AV19" i="4" s="1"/>
  <c r="AR6" i="5"/>
  <c r="AR9" i="5" s="1"/>
  <c r="AR14" i="5" s="1"/>
  <c r="AR28" i="7"/>
  <c r="AR27" i="7"/>
  <c r="AR39" i="9" l="1"/>
  <c r="AR40" i="9" s="1"/>
  <c r="AR41" i="9" s="1"/>
  <c r="AR42" i="9" s="1"/>
  <c r="AR30" i="5"/>
  <c r="AR31" i="5" s="1"/>
  <c r="AR29" i="7"/>
  <c r="AR29" i="6" s="1"/>
  <c r="AR30" i="6" s="1"/>
  <c r="AR43" i="9" l="1"/>
  <c r="AR45" i="9" s="1"/>
  <c r="AR44" i="9" l="1"/>
  <c r="AS6" i="9" s="1"/>
  <c r="AR22" i="6"/>
  <c r="AS36" i="9"/>
  <c r="AR6" i="6" l="1"/>
  <c r="AS35" i="5" s="1"/>
  <c r="AR26" i="5"/>
  <c r="AR27" i="5" s="1"/>
  <c r="AR32" i="5" s="1"/>
  <c r="AR33" i="5" s="1"/>
  <c r="AR24" i="6"/>
  <c r="AS37" i="9"/>
  <c r="AS24" i="7"/>
  <c r="AS25" i="7" s="1"/>
  <c r="AW13" i="4"/>
  <c r="AR9" i="6"/>
  <c r="AR36" i="5" l="1"/>
  <c r="AR37" i="5" s="1"/>
  <c r="AR20" i="6"/>
  <c r="AW12" i="4"/>
  <c r="AS26" i="7"/>
  <c r="AS38" i="9"/>
  <c r="AR26" i="6"/>
  <c r="AW14" i="4"/>
  <c r="AR39" i="5"/>
  <c r="AR32" i="6" l="1"/>
  <c r="AS6" i="5"/>
  <c r="AS9" i="5" s="1"/>
  <c r="AS14" i="5" s="1"/>
  <c r="AS28" i="7"/>
  <c r="AS27" i="7"/>
  <c r="AW16" i="4"/>
  <c r="AW17" i="4" s="1"/>
  <c r="AW18" i="4" s="1"/>
  <c r="AW19" i="4" s="1"/>
  <c r="AS39" i="9" l="1"/>
  <c r="AS40" i="9" s="1"/>
  <c r="AS41" i="9" s="1"/>
  <c r="AS42" i="9" s="1"/>
  <c r="AS43" i="9" s="1"/>
  <c r="AS45" i="9" s="1"/>
  <c r="AS22" i="6" s="1"/>
  <c r="AS26" i="5" s="1"/>
  <c r="AS30" i="5"/>
  <c r="AS31" i="5" s="1"/>
  <c r="AS29" i="7"/>
  <c r="AS29" i="6" s="1"/>
  <c r="AS30" i="6" s="1"/>
  <c r="AS44" i="9" l="1"/>
  <c r="AT6" i="9" s="1"/>
  <c r="AT36" i="9"/>
  <c r="AT24" i="7" s="1"/>
  <c r="K18" i="1" s="1"/>
  <c r="AS6" i="6" l="1"/>
  <c r="AS36" i="5" s="1"/>
  <c r="G36" i="9"/>
  <c r="AT37" i="9"/>
  <c r="G37" i="9" s="1"/>
  <c r="AS9" i="6" l="1"/>
  <c r="AX12" i="4" s="1"/>
  <c r="AX13" i="4"/>
  <c r="AT35" i="5"/>
  <c r="AS24" i="6"/>
  <c r="AS20" i="6" l="1"/>
  <c r="AS26" i="6"/>
  <c r="AX14" i="4"/>
  <c r="AS37" i="5"/>
  <c r="AS27" i="5"/>
  <c r="AS32" i="5" s="1"/>
  <c r="AS33" i="5" s="1"/>
  <c r="AS32" i="6" l="1"/>
  <c r="AS39" i="5"/>
  <c r="AT25" i="7"/>
  <c r="G24" i="7"/>
  <c r="AS17" i="10" s="1"/>
  <c r="AX16" i="4"/>
  <c r="AX17" i="4" s="1"/>
  <c r="AX18" i="4" s="1"/>
  <c r="AX19" i="4" s="1"/>
  <c r="G25" i="7" l="1"/>
  <c r="AT38" i="9"/>
  <c r="AT26" i="7"/>
  <c r="M18" i="1"/>
  <c r="L18" i="1"/>
  <c r="AT27" i="7" l="1"/>
  <c r="AT6" i="5"/>
  <c r="AT28" i="7"/>
  <c r="K19" i="1"/>
  <c r="G38" i="9"/>
  <c r="G26" i="7"/>
  <c r="AT39" i="9" l="1"/>
  <c r="AT30" i="5"/>
  <c r="G27" i="7"/>
  <c r="AS18" i="10"/>
  <c r="G28" i="7"/>
  <c r="AT29" i="7"/>
  <c r="L19" i="1"/>
  <c r="G29" i="7" l="1"/>
  <c r="AT29" i="6"/>
  <c r="M19" i="1"/>
  <c r="G39" i="9"/>
  <c r="AT40" i="9"/>
  <c r="AT9" i="5"/>
  <c r="G6" i="5"/>
  <c r="AT41" i="9" l="1"/>
  <c r="K10" i="1" s="1"/>
  <c r="G40" i="9"/>
  <c r="G29" i="6"/>
  <c r="AT30" i="6"/>
  <c r="AT31" i="5"/>
  <c r="G31" i="5" s="1"/>
  <c r="G30" i="5"/>
  <c r="AT14" i="5"/>
  <c r="G9" i="5"/>
  <c r="G30" i="6" l="1"/>
  <c r="AS22" i="10" s="1"/>
  <c r="K23" i="1"/>
  <c r="M23" i="1" s="1"/>
  <c r="G14" i="5"/>
  <c r="AS24" i="10" s="1"/>
  <c r="K25" i="1"/>
  <c r="M25" i="1" s="1"/>
  <c r="G41" i="9"/>
  <c r="AT42" i="9"/>
  <c r="L23" i="1" l="1"/>
  <c r="L25" i="1"/>
  <c r="G42" i="9"/>
  <c r="AT43" i="9"/>
  <c r="K11" i="1" s="1"/>
  <c r="G43" i="9" l="1"/>
  <c r="AS7" i="10" s="1"/>
  <c r="AT45" i="9"/>
  <c r="AT44" i="9"/>
  <c r="AT6" i="6" s="1"/>
  <c r="L10" i="1"/>
  <c r="M10" i="1"/>
  <c r="AT36" i="5" l="1"/>
  <c r="AU35" i="5"/>
  <c r="AY13" i="4"/>
  <c r="AT22" i="6"/>
  <c r="AT26" i="5" s="1"/>
  <c r="K12" i="1"/>
  <c r="G44" i="9"/>
  <c r="AU6" i="9"/>
  <c r="AU36" i="9"/>
  <c r="AU24" i="7" s="1"/>
  <c r="G45" i="9"/>
  <c r="AS8" i="10" s="1"/>
  <c r="H6" i="9" l="1"/>
  <c r="AU37" i="9"/>
  <c r="L12" i="1"/>
  <c r="AT9" i="6"/>
  <c r="AY12" i="4" s="1"/>
  <c r="G6" i="6"/>
  <c r="L11" i="1"/>
  <c r="M11" i="1"/>
  <c r="H35" i="5" l="1"/>
  <c r="G36" i="5"/>
  <c r="AT37" i="5"/>
  <c r="I13" i="4"/>
  <c r="M12" i="1"/>
  <c r="AU25" i="7"/>
  <c r="AT20" i="6"/>
  <c r="K21" i="1" s="1"/>
  <c r="G9" i="6"/>
  <c r="G22" i="6"/>
  <c r="AT24" i="6"/>
  <c r="AY14" i="4" s="1"/>
  <c r="I14" i="4" s="1"/>
  <c r="AT27" i="5"/>
  <c r="G26" i="5"/>
  <c r="I12" i="4"/>
  <c r="AU26" i="7" l="1"/>
  <c r="AU27" i="7" s="1"/>
  <c r="AU38" i="9"/>
  <c r="G37" i="5"/>
  <c r="AT26" i="6"/>
  <c r="G24" i="6"/>
  <c r="G20" i="6"/>
  <c r="AS20" i="10" s="1"/>
  <c r="AT32" i="5"/>
  <c r="K27" i="1" s="1"/>
  <c r="G27" i="5"/>
  <c r="AY16" i="4"/>
  <c r="M21" i="1"/>
  <c r="L21" i="1"/>
  <c r="G26" i="6" l="1"/>
  <c r="AS21" i="10" s="1"/>
  <c r="K22" i="1"/>
  <c r="AU6" i="5"/>
  <c r="AU28" i="7"/>
  <c r="AT32" i="6"/>
  <c r="AT33" i="5"/>
  <c r="G32" i="5"/>
  <c r="AS26" i="10" s="1"/>
  <c r="AY17" i="4"/>
  <c r="I16" i="4"/>
  <c r="G32" i="6" l="1"/>
  <c r="AU39" i="9"/>
  <c r="AU40" i="9" s="1"/>
  <c r="AU30" i="5"/>
  <c r="AU29" i="7"/>
  <c r="AU29" i="6" s="1"/>
  <c r="AU9" i="5"/>
  <c r="AT39" i="5"/>
  <c r="G33" i="5"/>
  <c r="G39" i="5" s="1"/>
  <c r="AY18" i="4"/>
  <c r="I17" i="4"/>
  <c r="M27" i="1"/>
  <c r="L27" i="1"/>
  <c r="M22" i="1"/>
  <c r="L22" i="1"/>
  <c r="AU41" i="9" l="1"/>
  <c r="AU14" i="5"/>
  <c r="AY19" i="4"/>
  <c r="I19" i="4" s="1"/>
  <c r="I18" i="4"/>
  <c r="AU42" i="9" l="1"/>
  <c r="AU30" i="6"/>
  <c r="AU31" i="5"/>
  <c r="AU43" i="9" l="1"/>
  <c r="AU45" i="9" l="1"/>
  <c r="AU22" i="6" s="1"/>
  <c r="AU44" i="9"/>
  <c r="AV6" i="9" l="1"/>
  <c r="AU6" i="6"/>
  <c r="AU26" i="5"/>
  <c r="AU27" i="5" s="1"/>
  <c r="AU24" i="6"/>
  <c r="AV36" i="9"/>
  <c r="AV24" i="7" s="1"/>
  <c r="AV25" i="7" l="1"/>
  <c r="AU36" i="5"/>
  <c r="AU37" i="5" s="1"/>
  <c r="AV35" i="5"/>
  <c r="AZ13" i="4"/>
  <c r="AU9" i="6"/>
  <c r="AU26" i="6"/>
  <c r="AZ14" i="4"/>
  <c r="AV37" i="9"/>
  <c r="AU32" i="5"/>
  <c r="AU20" i="6" l="1"/>
  <c r="AU32" i="6" s="1"/>
  <c r="AZ12" i="4"/>
  <c r="AZ16" i="4" s="1"/>
  <c r="AZ17" i="4" s="1"/>
  <c r="AZ18" i="4" s="1"/>
  <c r="AZ19" i="4" s="1"/>
  <c r="AV26" i="7"/>
  <c r="AV38" i="9"/>
  <c r="AU33" i="5"/>
  <c r="AV6" i="5" l="1"/>
  <c r="AV9" i="5" s="1"/>
  <c r="AV14" i="5" s="1"/>
  <c r="AV28" i="7"/>
  <c r="AV27" i="7"/>
  <c r="AU39" i="5"/>
  <c r="AV39" i="9" l="1"/>
  <c r="AV40" i="9" s="1"/>
  <c r="AV41" i="9" s="1"/>
  <c r="AV42" i="9" s="1"/>
  <c r="AV30" i="5"/>
  <c r="AV31" i="5" s="1"/>
  <c r="AV29" i="7"/>
  <c r="AV29" i="6" s="1"/>
  <c r="AV30" i="6" s="1"/>
  <c r="AV43" i="9" l="1"/>
  <c r="AV44" i="9" l="1"/>
  <c r="AV45" i="9"/>
  <c r="AV22" i="6" s="1"/>
  <c r="AV26" i="5" l="1"/>
  <c r="AV27" i="5" s="1"/>
  <c r="AV32" i="5" s="1"/>
  <c r="AV24" i="6"/>
  <c r="AW6" i="9"/>
  <c r="AV6" i="6"/>
  <c r="AW36" i="9"/>
  <c r="AW24" i="7" s="1"/>
  <c r="AW25" i="7" l="1"/>
  <c r="AV26" i="6"/>
  <c r="BA14" i="4"/>
  <c r="AV36" i="5"/>
  <c r="AV37" i="5" s="1"/>
  <c r="AW35" i="5"/>
  <c r="BA13" i="4"/>
  <c r="AV9" i="6"/>
  <c r="AV33" i="5"/>
  <c r="AW37" i="9"/>
  <c r="AV20" i="6" l="1"/>
  <c r="AV32" i="6" s="1"/>
  <c r="BA12" i="4"/>
  <c r="BA16" i="4" s="1"/>
  <c r="BA17" i="4" s="1"/>
  <c r="BA18" i="4" s="1"/>
  <c r="BA19" i="4" s="1"/>
  <c r="AV39" i="5"/>
  <c r="AW26" i="7"/>
  <c r="AW38" i="9"/>
  <c r="AW6" i="5" l="1"/>
  <c r="AW9" i="5" s="1"/>
  <c r="AW14" i="5" s="1"/>
  <c r="AW28" i="7"/>
  <c r="AW27" i="7"/>
  <c r="AW39" i="9" l="1"/>
  <c r="AW40" i="9" s="1"/>
  <c r="AW41" i="9" s="1"/>
  <c r="AW42" i="9" s="1"/>
  <c r="AW30" i="5"/>
  <c r="AW31" i="5" s="1"/>
  <c r="AW29" i="7"/>
  <c r="AW29" i="6" s="1"/>
  <c r="AW30" i="6" s="1"/>
  <c r="AW43" i="9" l="1"/>
  <c r="AW45" i="9" l="1"/>
  <c r="AW22" i="6" s="1"/>
  <c r="AW44" i="9"/>
  <c r="AW26" i="5" l="1"/>
  <c r="AW27" i="5" s="1"/>
  <c r="AW32" i="5" s="1"/>
  <c r="AW33" i="5" s="1"/>
  <c r="AW24" i="6"/>
  <c r="AX6" i="9"/>
  <c r="AW6" i="6"/>
  <c r="AX36" i="9"/>
  <c r="AX24" i="7" s="1"/>
  <c r="AX25" i="7" s="1"/>
  <c r="AX26" i="7" l="1"/>
  <c r="AX38" i="9"/>
  <c r="AW36" i="5"/>
  <c r="AW37" i="5" s="1"/>
  <c r="AW39" i="5" s="1"/>
  <c r="AX35" i="5"/>
  <c r="BB13" i="4"/>
  <c r="AW9" i="6"/>
  <c r="AW26" i="6"/>
  <c r="BB14" i="4"/>
  <c r="AX37" i="9"/>
  <c r="AW20" i="6" l="1"/>
  <c r="AW32" i="6" s="1"/>
  <c r="BB12" i="4"/>
  <c r="BB16" i="4" s="1"/>
  <c r="BB17" i="4" s="1"/>
  <c r="BB18" i="4" s="1"/>
  <c r="BB19" i="4" s="1"/>
  <c r="AX6" i="5"/>
  <c r="AX9" i="5" s="1"/>
  <c r="AX14" i="5" s="1"/>
  <c r="AX28" i="7"/>
  <c r="AX27" i="7"/>
  <c r="AX39" i="9" l="1"/>
  <c r="AX40" i="9" s="1"/>
  <c r="AX41" i="9" s="1"/>
  <c r="AX30" i="5"/>
  <c r="AX31" i="5" s="1"/>
  <c r="AX29" i="7"/>
  <c r="AX29" i="6" s="1"/>
  <c r="AX30" i="6" s="1"/>
  <c r="AX42" i="9" l="1"/>
  <c r="AX43" i="9" l="1"/>
  <c r="AX45" i="9" l="1"/>
  <c r="AX22" i="6" s="1"/>
  <c r="AX44" i="9"/>
  <c r="AY6" i="9" l="1"/>
  <c r="AX6" i="6"/>
  <c r="AX26" i="5"/>
  <c r="AX27" i="5" s="1"/>
  <c r="AX32" i="5" s="1"/>
  <c r="AX33" i="5" s="1"/>
  <c r="AX24" i="6"/>
  <c r="AY36" i="9"/>
  <c r="AY24" i="7" s="1"/>
  <c r="AY25" i="7" s="1"/>
  <c r="AY26" i="7" l="1"/>
  <c r="AY38" i="9"/>
  <c r="AX26" i="6"/>
  <c r="BC14" i="4"/>
  <c r="AY35" i="5"/>
  <c r="BC13" i="4"/>
  <c r="AX36" i="5"/>
  <c r="AX37" i="5" s="1"/>
  <c r="AX39" i="5" s="1"/>
  <c r="AX9" i="6"/>
  <c r="AY37" i="9"/>
  <c r="AY6" i="5" l="1"/>
  <c r="AY9" i="5" s="1"/>
  <c r="AY14" i="5" s="1"/>
  <c r="AY28" i="7"/>
  <c r="AY27" i="7"/>
  <c r="AX20" i="6"/>
  <c r="AX32" i="6" s="1"/>
  <c r="BC12" i="4"/>
  <c r="BC16" i="4" s="1"/>
  <c r="BC17" i="4" s="1"/>
  <c r="BC18" i="4" s="1"/>
  <c r="BC19" i="4" s="1"/>
  <c r="AY39" i="9" l="1"/>
  <c r="AY40" i="9" s="1"/>
  <c r="AY41" i="9" s="1"/>
  <c r="AY30" i="5"/>
  <c r="AY31" i="5" s="1"/>
  <c r="AY29" i="7"/>
  <c r="AY29" i="6" s="1"/>
  <c r="AY30" i="6" s="1"/>
  <c r="AY42" i="9" l="1"/>
  <c r="AY43" i="9" l="1"/>
  <c r="AY45" i="9" l="1"/>
  <c r="AY22" i="6" s="1"/>
  <c r="AY44" i="9"/>
  <c r="AZ6" i="9" l="1"/>
  <c r="AY6" i="6"/>
  <c r="AY26" i="5"/>
  <c r="AY27" i="5" s="1"/>
  <c r="AY32" i="5" s="1"/>
  <c r="AY33" i="5" s="1"/>
  <c r="AY24" i="6"/>
  <c r="AZ36" i="9"/>
  <c r="AZ37" i="9" l="1"/>
  <c r="AZ24" i="7"/>
  <c r="AZ25" i="7" s="1"/>
  <c r="AY26" i="6"/>
  <c r="BD14" i="4"/>
  <c r="AY36" i="5"/>
  <c r="AY37" i="5" s="1"/>
  <c r="AY39" i="5" s="1"/>
  <c r="AZ35" i="5"/>
  <c r="BD13" i="4"/>
  <c r="AY9" i="6"/>
  <c r="AZ26" i="7" l="1"/>
  <c r="AZ38" i="9"/>
  <c r="AY20" i="6"/>
  <c r="AY32" i="6" s="1"/>
  <c r="BD12" i="4"/>
  <c r="BD16" i="4" s="1"/>
  <c r="BD17" i="4" s="1"/>
  <c r="BD18" i="4" s="1"/>
  <c r="BD19" i="4" s="1"/>
  <c r="AZ6" i="5" l="1"/>
  <c r="AZ9" i="5" s="1"/>
  <c r="AZ14" i="5" s="1"/>
  <c r="AZ28" i="7"/>
  <c r="AZ27" i="7"/>
  <c r="AZ39" i="9" l="1"/>
  <c r="AZ40" i="9" s="1"/>
  <c r="AZ41" i="9" s="1"/>
  <c r="AZ42" i="9" s="1"/>
  <c r="AZ30" i="5"/>
  <c r="AZ31" i="5" s="1"/>
  <c r="AZ29" i="7"/>
  <c r="AZ29" i="6" s="1"/>
  <c r="AZ30" i="6" s="1"/>
  <c r="AZ43" i="9" l="1"/>
  <c r="AZ45" i="9" s="1"/>
  <c r="AZ44" i="9" l="1"/>
  <c r="AZ22" i="6"/>
  <c r="BA36" i="9"/>
  <c r="AZ26" i="5" l="1"/>
  <c r="AZ27" i="5" s="1"/>
  <c r="AZ32" i="5" s="1"/>
  <c r="AZ33" i="5" s="1"/>
  <c r="AZ24" i="6"/>
  <c r="BA37" i="9"/>
  <c r="BA24" i="7"/>
  <c r="BA25" i="7" s="1"/>
  <c r="BA6" i="9"/>
  <c r="AZ6" i="6"/>
  <c r="AZ36" i="5" l="1"/>
  <c r="AZ37" i="5" s="1"/>
  <c r="AZ39" i="5" s="1"/>
  <c r="BA35" i="5"/>
  <c r="BE13" i="4"/>
  <c r="AZ9" i="6"/>
  <c r="AZ26" i="6"/>
  <c r="BE14" i="4"/>
  <c r="BA26" i="7"/>
  <c r="BA38" i="9"/>
  <c r="BA6" i="5" l="1"/>
  <c r="BA9" i="5" s="1"/>
  <c r="BA14" i="5" s="1"/>
  <c r="BA28" i="7"/>
  <c r="BA29" i="7" s="1"/>
  <c r="BA29" i="6" s="1"/>
  <c r="BA30" i="6" s="1"/>
  <c r="BA27" i="7"/>
  <c r="AZ20" i="6"/>
  <c r="AZ32" i="6" s="1"/>
  <c r="BE12" i="4"/>
  <c r="BE16" i="4" s="1"/>
  <c r="BE17" i="4" s="1"/>
  <c r="BE18" i="4" s="1"/>
  <c r="BE19" i="4" s="1"/>
  <c r="BA39" i="9" l="1"/>
  <c r="BA40" i="9" s="1"/>
  <c r="BA41" i="9" s="1"/>
  <c r="BA42" i="9" s="1"/>
  <c r="BA30" i="5"/>
  <c r="BA31" i="5" s="1"/>
  <c r="BA43" i="9" l="1"/>
  <c r="BA45" i="9" s="1"/>
  <c r="BA44" i="9" l="1"/>
  <c r="BA22" i="6"/>
  <c r="BB36" i="9"/>
  <c r="BB37" i="9" l="1"/>
  <c r="BB24" i="7"/>
  <c r="BB25" i="7" s="1"/>
  <c r="BA26" i="5"/>
  <c r="BA27" i="5" s="1"/>
  <c r="BA32" i="5" s="1"/>
  <c r="BA33" i="5" s="1"/>
  <c r="BA24" i="6"/>
  <c r="BB6" i="9"/>
  <c r="BA6" i="6"/>
  <c r="BB35" i="5" l="1"/>
  <c r="BA36" i="5"/>
  <c r="BA37" i="5" s="1"/>
  <c r="BA39" i="5" s="1"/>
  <c r="BF13" i="4"/>
  <c r="BA9" i="6"/>
  <c r="BA26" i="6"/>
  <c r="BF14" i="4"/>
  <c r="BB26" i="7"/>
  <c r="BB38" i="9"/>
  <c r="BB6" i="5" l="1"/>
  <c r="BB9" i="5" s="1"/>
  <c r="BB14" i="5" s="1"/>
  <c r="BB28" i="7"/>
  <c r="BB27" i="7"/>
  <c r="BA20" i="6"/>
  <c r="BA32" i="6" s="1"/>
  <c r="BF12" i="4"/>
  <c r="BF16" i="4" s="1"/>
  <c r="BF17" i="4" s="1"/>
  <c r="BF18" i="4" s="1"/>
  <c r="BF19" i="4" s="1"/>
  <c r="BB39" i="9" l="1"/>
  <c r="BB40" i="9" s="1"/>
  <c r="BB41" i="9" s="1"/>
  <c r="BB42" i="9" s="1"/>
  <c r="BB30" i="5"/>
  <c r="BB31" i="5" s="1"/>
  <c r="BB29" i="7"/>
  <c r="BB29" i="6" s="1"/>
  <c r="BB30" i="6" s="1"/>
  <c r="BB43" i="9" l="1"/>
  <c r="BB45" i="9" s="1"/>
  <c r="BB44" i="9" l="1"/>
  <c r="BB22" i="6"/>
  <c r="BC36" i="9"/>
  <c r="BC37" i="9" l="1"/>
  <c r="BC24" i="7"/>
  <c r="BC25" i="7" s="1"/>
  <c r="BB26" i="5"/>
  <c r="BB27" i="5" s="1"/>
  <c r="BB32" i="5" s="1"/>
  <c r="BB33" i="5" s="1"/>
  <c r="BB24" i="6"/>
  <c r="BC6" i="9"/>
  <c r="BB6" i="6"/>
  <c r="BB26" i="6" l="1"/>
  <c r="BG14" i="4"/>
  <c r="BC35" i="5"/>
  <c r="BB36" i="5"/>
  <c r="BB37" i="5" s="1"/>
  <c r="BB39" i="5" s="1"/>
  <c r="BG13" i="4"/>
  <c r="BB9" i="6"/>
  <c r="BC26" i="7"/>
  <c r="BC38" i="9"/>
  <c r="BB20" i="6" l="1"/>
  <c r="BB32" i="6" s="1"/>
  <c r="BG12" i="4"/>
  <c r="BG16" i="4" s="1"/>
  <c r="BG17" i="4" s="1"/>
  <c r="BG18" i="4" s="1"/>
  <c r="BG19" i="4" s="1"/>
  <c r="BC6" i="5"/>
  <c r="BC9" i="5" s="1"/>
  <c r="BC14" i="5" s="1"/>
  <c r="BC28" i="7"/>
  <c r="BC29" i="7" s="1"/>
  <c r="BC29" i="6" s="1"/>
  <c r="BC27" i="7"/>
  <c r="BC39" i="9" l="1"/>
  <c r="BC40" i="9" s="1"/>
  <c r="BC41" i="9" s="1"/>
  <c r="BC42" i="9" s="1"/>
  <c r="BC43" i="9" s="1"/>
  <c r="BC45" i="9" s="1"/>
  <c r="BC22" i="6" s="1"/>
  <c r="BC26" i="5" s="1"/>
  <c r="BC30" i="5"/>
  <c r="BC31" i="5" s="1"/>
  <c r="BC30" i="6"/>
  <c r="BD36" i="9" l="1"/>
  <c r="BC44" i="9"/>
  <c r="BD6" i="9" l="1"/>
  <c r="BC6" i="6"/>
  <c r="BC9" i="6" s="1"/>
  <c r="BD37" i="9"/>
  <c r="BD24" i="7"/>
  <c r="BC20" i="6" l="1"/>
  <c r="BH12" i="4"/>
  <c r="BC36" i="5"/>
  <c r="BD35" i="5"/>
  <c r="BH13" i="4"/>
  <c r="BC24" i="6"/>
  <c r="BC26" i="6" l="1"/>
  <c r="BC32" i="6" s="1"/>
  <c r="BH14" i="4"/>
  <c r="BC37" i="5"/>
  <c r="BC27" i="5"/>
  <c r="BC32" i="5" s="1"/>
  <c r="BC33" i="5" s="1"/>
  <c r="BC39" i="5" s="1"/>
  <c r="BD25" i="7" l="1"/>
  <c r="BH16" i="4"/>
  <c r="BH17" i="4" s="1"/>
  <c r="BH18" i="4" s="1"/>
  <c r="BH19" i="4" s="1"/>
  <c r="BD26" i="7" l="1"/>
  <c r="BD27" i="7" s="1"/>
  <c r="BD38" i="9"/>
  <c r="BD6" i="5" l="1"/>
  <c r="BD9" i="5" s="1"/>
  <c r="BD14" i="5" s="1"/>
  <c r="BD28" i="7"/>
  <c r="BD39" i="9" l="1"/>
  <c r="BD40" i="9" s="1"/>
  <c r="BD41" i="9" s="1"/>
  <c r="BD42" i="9" s="1"/>
  <c r="BD43" i="9" s="1"/>
  <c r="BD45" i="9" s="1"/>
  <c r="BD22" i="6" s="1"/>
  <c r="BD26" i="5" s="1"/>
  <c r="BD30" i="5"/>
  <c r="BD29" i="7"/>
  <c r="BD29" i="6" s="1"/>
  <c r="BD31" i="5" l="1"/>
  <c r="BD44" i="9"/>
  <c r="BE36" i="9"/>
  <c r="BD30" i="6"/>
  <c r="BE37" i="9" l="1"/>
  <c r="BE24" i="7"/>
  <c r="BE6" i="9"/>
  <c r="BD6" i="6"/>
  <c r="BD9" i="6" s="1"/>
  <c r="BD20" i="6" l="1"/>
  <c r="BI12" i="4"/>
  <c r="BD36" i="5"/>
  <c r="BE35" i="5"/>
  <c r="BI13" i="4"/>
  <c r="BD24" i="6"/>
  <c r="BD26" i="6" l="1"/>
  <c r="BD32" i="6" s="1"/>
  <c r="BI14" i="4"/>
  <c r="BD37" i="5"/>
  <c r="BD27" i="5"/>
  <c r="BD32" i="5" s="1"/>
  <c r="BD33" i="5" s="1"/>
  <c r="BD39" i="5" l="1"/>
  <c r="BE25" i="7"/>
  <c r="BI16" i="4"/>
  <c r="BI17" i="4" s="1"/>
  <c r="BI18" i="4" s="1"/>
  <c r="BI19" i="4" s="1"/>
  <c r="BE26" i="7" l="1"/>
  <c r="BE27" i="7" s="1"/>
  <c r="BE38" i="9"/>
  <c r="BE6" i="5" l="1"/>
  <c r="BE9" i="5" s="1"/>
  <c r="BE14" i="5" s="1"/>
  <c r="BE28" i="7"/>
  <c r="BE39" i="9" l="1"/>
  <c r="BE40" i="9" s="1"/>
  <c r="BE41" i="9" s="1"/>
  <c r="BE42" i="9" s="1"/>
  <c r="BE43" i="9" s="1"/>
  <c r="BE45" i="9" s="1"/>
  <c r="BE22" i="6" s="1"/>
  <c r="BE26" i="5" s="1"/>
  <c r="BE30" i="5"/>
  <c r="BE31" i="5" s="1"/>
  <c r="BE29" i="7"/>
  <c r="BE29" i="6" s="1"/>
  <c r="BF36" i="9" l="1"/>
  <c r="BF24" i="7" s="1"/>
  <c r="O18" i="1" s="1"/>
  <c r="BE44" i="9"/>
  <c r="BE30" i="6"/>
  <c r="BF6" i="9" l="1"/>
  <c r="BE6" i="6"/>
  <c r="BF37" i="9"/>
  <c r="H36" i="9"/>
  <c r="BE36" i="5" l="1"/>
  <c r="BF35" i="5"/>
  <c r="BJ13" i="4"/>
  <c r="H37" i="9"/>
  <c r="BE9" i="6" l="1"/>
  <c r="BE20" i="6" l="1"/>
  <c r="BJ12" i="4"/>
  <c r="BE24" i="6"/>
  <c r="BE26" i="6" l="1"/>
  <c r="BE32" i="6" s="1"/>
  <c r="BJ14" i="4"/>
  <c r="BE37" i="5"/>
  <c r="BE27" i="5"/>
  <c r="BE32" i="5" s="1"/>
  <c r="BE33" i="5" s="1"/>
  <c r="BF25" i="7" l="1"/>
  <c r="H24" i="7"/>
  <c r="AU17" i="10" s="1"/>
  <c r="BE39" i="5"/>
  <c r="BJ16" i="4"/>
  <c r="BJ17" i="4" s="1"/>
  <c r="BJ18" i="4" s="1"/>
  <c r="BJ19" i="4" s="1"/>
  <c r="H25" i="7" l="1"/>
  <c r="BF38" i="9"/>
  <c r="BF26" i="7"/>
  <c r="Q18" i="1"/>
  <c r="P18" i="1"/>
  <c r="BF27" i="7" l="1"/>
  <c r="BF6" i="5"/>
  <c r="O19" i="1"/>
  <c r="BF28" i="7"/>
  <c r="BF29" i="7" s="1"/>
  <c r="H38" i="9"/>
  <c r="H26" i="7"/>
  <c r="H29" i="7" l="1"/>
  <c r="BF29" i="6"/>
  <c r="H27" i="7"/>
  <c r="AU18" i="10"/>
  <c r="BF39" i="9"/>
  <c r="BF30" i="5"/>
  <c r="H28" i="7"/>
  <c r="Q19" i="1"/>
  <c r="BF31" i="5" l="1"/>
  <c r="H31" i="5" s="1"/>
  <c r="P19" i="1"/>
  <c r="BF9" i="5"/>
  <c r="H6" i="5"/>
  <c r="H30" i="5"/>
  <c r="H39" i="9" l="1"/>
  <c r="BF40" i="9"/>
  <c r="H29" i="6"/>
  <c r="BF30" i="6"/>
  <c r="BF14" i="5"/>
  <c r="H9" i="5"/>
  <c r="H14" i="5" l="1"/>
  <c r="AU24" i="10" s="1"/>
  <c r="O25" i="1"/>
  <c r="P25" i="1" s="1"/>
  <c r="H30" i="6"/>
  <c r="AU22" i="10" s="1"/>
  <c r="O23" i="1"/>
  <c r="BF41" i="9"/>
  <c r="O10" i="1" s="1"/>
  <c r="H40" i="9"/>
  <c r="Q25" i="1" l="1"/>
  <c r="H41" i="9"/>
  <c r="BF42" i="9"/>
  <c r="Q23" i="1"/>
  <c r="P23" i="1"/>
  <c r="H42" i="9" l="1"/>
  <c r="BF43" i="9"/>
  <c r="O11" i="1" s="1"/>
  <c r="Q10" i="1"/>
  <c r="P10" i="1"/>
  <c r="H43" i="9" l="1"/>
  <c r="AU7" i="10" s="1"/>
  <c r="BF45" i="9"/>
  <c r="BF44" i="9"/>
  <c r="BF6" i="6" s="1"/>
  <c r="Q11" i="1"/>
  <c r="P11" i="1"/>
  <c r="BF36" i="5" l="1"/>
  <c r="BK13" i="4"/>
  <c r="BG35" i="5"/>
  <c r="BF22" i="6"/>
  <c r="BF26" i="5" s="1"/>
  <c r="O12" i="1"/>
  <c r="Q12" i="1" s="1"/>
  <c r="BG36" i="9"/>
  <c r="BG24" i="7" s="1"/>
  <c r="H45" i="9"/>
  <c r="AU8" i="10" s="1"/>
  <c r="H44" i="9"/>
  <c r="BG6" i="9"/>
  <c r="BF9" i="6"/>
  <c r="BK12" i="4" s="1"/>
  <c r="H6" i="6"/>
  <c r="H36" i="5" l="1"/>
  <c r="I35" i="5"/>
  <c r="I6" i="9"/>
  <c r="BG37" i="9"/>
  <c r="P12" i="1"/>
  <c r="BG25" i="7"/>
  <c r="H22" i="6"/>
  <c r="BF24" i="6"/>
  <c r="BK14" i="4" s="1"/>
  <c r="K14" i="4" s="1"/>
  <c r="H9" i="6"/>
  <c r="BF20" i="6"/>
  <c r="O21" i="1" s="1"/>
  <c r="BF27" i="5"/>
  <c r="H26" i="5"/>
  <c r="K13" i="4"/>
  <c r="BF37" i="5"/>
  <c r="BG26" i="7" l="1"/>
  <c r="BG27" i="7" s="1"/>
  <c r="BG38" i="9"/>
  <c r="H20" i="6"/>
  <c r="AU20" i="10" s="1"/>
  <c r="BF26" i="6"/>
  <c r="H24" i="6"/>
  <c r="H37" i="5"/>
  <c r="BF32" i="5"/>
  <c r="O27" i="1" s="1"/>
  <c r="H27" i="5"/>
  <c r="K12" i="4"/>
  <c r="BK16" i="4"/>
  <c r="H26" i="6" l="1"/>
  <c r="AU21" i="10" s="1"/>
  <c r="O22" i="1"/>
  <c r="P22" i="1" s="1"/>
  <c r="BG6" i="5"/>
  <c r="BG9" i="5" s="1"/>
  <c r="BG28" i="7"/>
  <c r="BF32" i="6"/>
  <c r="BF33" i="5"/>
  <c r="H32" i="5"/>
  <c r="AU26" i="10" s="1"/>
  <c r="BK17" i="4"/>
  <c r="K16" i="4"/>
  <c r="Q21" i="1"/>
  <c r="P21" i="1"/>
  <c r="Q22" i="1" l="1"/>
  <c r="H32" i="6"/>
  <c r="BG39" i="9"/>
  <c r="BG40" i="9" s="1"/>
  <c r="BG30" i="5"/>
  <c r="BG29" i="7"/>
  <c r="BG29" i="6" s="1"/>
  <c r="BF39" i="5"/>
  <c r="H33" i="5"/>
  <c r="H39" i="5" s="1"/>
  <c r="BG14" i="5"/>
  <c r="BK18" i="4"/>
  <c r="K17" i="4"/>
  <c r="Q27" i="1"/>
  <c r="P27" i="1"/>
  <c r="BG41" i="9" l="1"/>
  <c r="BG30" i="6"/>
  <c r="BG31" i="5"/>
  <c r="BK19" i="4"/>
  <c r="K19" i="4" s="1"/>
  <c r="K18" i="4"/>
  <c r="BG42" i="9" l="1"/>
  <c r="BG43" i="9" l="1"/>
  <c r="BG45" i="9" l="1"/>
  <c r="BG22" i="6" s="1"/>
  <c r="BG44" i="9"/>
  <c r="BH6" i="9" l="1"/>
  <c r="BG6" i="6"/>
  <c r="BG26" i="5"/>
  <c r="BG27" i="5" s="1"/>
  <c r="BG32" i="5" s="1"/>
  <c r="BG24" i="6"/>
  <c r="BH36" i="9"/>
  <c r="BH24" i="7" s="1"/>
  <c r="BH25" i="7" l="1"/>
  <c r="BH35" i="5"/>
  <c r="BG36" i="5"/>
  <c r="BG37" i="5" s="1"/>
  <c r="BL13" i="4"/>
  <c r="BG9" i="6"/>
  <c r="BG26" i="6"/>
  <c r="BL14" i="4"/>
  <c r="BG33" i="5"/>
  <c r="BG39" i="5" s="1"/>
  <c r="BH37" i="9"/>
  <c r="BH26" i="7" l="1"/>
  <c r="BH38" i="9"/>
  <c r="BG20" i="6"/>
  <c r="BG32" i="6" s="1"/>
  <c r="BL12" i="4"/>
  <c r="BL16" i="4" s="1"/>
  <c r="BL17" i="4" s="1"/>
  <c r="BL18" i="4" s="1"/>
  <c r="BL19" i="4" s="1"/>
  <c r="BH6" i="5" l="1"/>
  <c r="BH9" i="5" s="1"/>
  <c r="BH14" i="5" s="1"/>
  <c r="BH28" i="7"/>
  <c r="BH27" i="7"/>
  <c r="BH39" i="9" l="1"/>
  <c r="BH40" i="9" s="1"/>
  <c r="BH41" i="9" s="1"/>
  <c r="BH42" i="9" s="1"/>
  <c r="BH30" i="5"/>
  <c r="BH31" i="5" s="1"/>
  <c r="BH29" i="7"/>
  <c r="BH29" i="6" s="1"/>
  <c r="BH30" i="6" s="1"/>
  <c r="BH43" i="9" l="1"/>
  <c r="BH45" i="9" l="1"/>
  <c r="BH22" i="6" s="1"/>
  <c r="BH44" i="9"/>
  <c r="BH26" i="5" l="1"/>
  <c r="BH27" i="5" s="1"/>
  <c r="BH32" i="5" s="1"/>
  <c r="BH24" i="6"/>
  <c r="BI6" i="9"/>
  <c r="BH6" i="6"/>
  <c r="BI36" i="9"/>
  <c r="BI24" i="7" s="1"/>
  <c r="BI25" i="7" l="1"/>
  <c r="BH36" i="5"/>
  <c r="BH37" i="5" s="1"/>
  <c r="BI35" i="5"/>
  <c r="BM13" i="4"/>
  <c r="BH9" i="6"/>
  <c r="BH26" i="6"/>
  <c r="BM14" i="4"/>
  <c r="BH33" i="5"/>
  <c r="BH39" i="5" s="1"/>
  <c r="BI37" i="9"/>
  <c r="BH20" i="6" l="1"/>
  <c r="BH32" i="6" s="1"/>
  <c r="BM12" i="4"/>
  <c r="BM16" i="4" s="1"/>
  <c r="BM17" i="4" s="1"/>
  <c r="BM18" i="4" s="1"/>
  <c r="BM19" i="4" s="1"/>
  <c r="BI26" i="7"/>
  <c r="BI38" i="9"/>
  <c r="BI6" i="5" l="1"/>
  <c r="BI9" i="5" s="1"/>
  <c r="BI14" i="5" s="1"/>
  <c r="BI28" i="7"/>
  <c r="BI29" i="7" s="1"/>
  <c r="BI29" i="6" s="1"/>
  <c r="BI30" i="6" s="1"/>
  <c r="BI27" i="7"/>
  <c r="BI39" i="9" l="1"/>
  <c r="BI40" i="9" s="1"/>
  <c r="BI41" i="9" s="1"/>
  <c r="BI42" i="9" s="1"/>
  <c r="BI30" i="5"/>
  <c r="BI31" i="5" s="1"/>
  <c r="BI43" i="9" l="1"/>
  <c r="BI45" i="9" l="1"/>
  <c r="BI22" i="6" s="1"/>
  <c r="BI44" i="9"/>
  <c r="BJ6" i="9" l="1"/>
  <c r="BI6" i="6"/>
  <c r="BI26" i="5"/>
  <c r="BI27" i="5" s="1"/>
  <c r="BI32" i="5" s="1"/>
  <c r="BI24" i="6"/>
  <c r="BJ36" i="9"/>
  <c r="BJ24" i="7" s="1"/>
  <c r="BJ25" i="7" l="1"/>
  <c r="BI26" i="6"/>
  <c r="BN14" i="4"/>
  <c r="BI36" i="5"/>
  <c r="BI37" i="5" s="1"/>
  <c r="BJ35" i="5"/>
  <c r="BN13" i="4"/>
  <c r="BI9" i="6"/>
  <c r="BI33" i="5"/>
  <c r="BJ37" i="9"/>
  <c r="BJ26" i="7" l="1"/>
  <c r="BJ38" i="9"/>
  <c r="BI20" i="6"/>
  <c r="BI32" i="6" s="1"/>
  <c r="BN12" i="4"/>
  <c r="BN16" i="4" s="1"/>
  <c r="BN17" i="4" s="1"/>
  <c r="BN18" i="4" s="1"/>
  <c r="BN19" i="4" s="1"/>
  <c r="BI39" i="5"/>
  <c r="BJ6" i="5" l="1"/>
  <c r="BJ9" i="5" s="1"/>
  <c r="BJ14" i="5" s="1"/>
  <c r="BJ28" i="7"/>
  <c r="BJ29" i="7" s="1"/>
  <c r="BJ29" i="6" s="1"/>
  <c r="BJ30" i="6" s="1"/>
  <c r="BJ27" i="7"/>
  <c r="BJ39" i="9" l="1"/>
  <c r="BJ40" i="9" s="1"/>
  <c r="BJ41" i="9" s="1"/>
  <c r="BJ42" i="9" s="1"/>
  <c r="BJ30" i="5"/>
  <c r="BJ31" i="5" s="1"/>
  <c r="BJ43" i="9" l="1"/>
  <c r="BJ45" i="9" l="1"/>
  <c r="BJ22" i="6" s="1"/>
  <c r="BJ44" i="9"/>
  <c r="BK6" i="9" l="1"/>
  <c r="BJ6" i="6"/>
  <c r="BJ26" i="5"/>
  <c r="BJ27" i="5" s="1"/>
  <c r="BJ32" i="5" s="1"/>
  <c r="BJ24" i="6"/>
  <c r="BK36" i="9"/>
  <c r="BK24" i="7" s="1"/>
  <c r="BK25" i="7" s="1"/>
  <c r="BK26" i="7" l="1"/>
  <c r="BK38" i="9"/>
  <c r="BJ36" i="5"/>
  <c r="BJ37" i="5" s="1"/>
  <c r="BK35" i="5"/>
  <c r="BO13" i="4"/>
  <c r="BJ9" i="6"/>
  <c r="BJ26" i="6"/>
  <c r="BO14" i="4"/>
  <c r="BK37" i="9"/>
  <c r="BJ33" i="5"/>
  <c r="BK6" i="5" l="1"/>
  <c r="BK9" i="5" s="1"/>
  <c r="BK28" i="7"/>
  <c r="BK29" i="7" s="1"/>
  <c r="BK29" i="6" s="1"/>
  <c r="BK27" i="7"/>
  <c r="BJ20" i="6"/>
  <c r="BJ32" i="6" s="1"/>
  <c r="BO12" i="4"/>
  <c r="BO16" i="4" s="1"/>
  <c r="BO17" i="4" s="1"/>
  <c r="BO18" i="4" s="1"/>
  <c r="BO19" i="4" s="1"/>
  <c r="BJ39" i="5"/>
  <c r="BK39" i="9" l="1"/>
  <c r="BK40" i="9" s="1"/>
  <c r="BK41" i="9" s="1"/>
  <c r="BK30" i="5"/>
  <c r="BK14" i="5"/>
  <c r="BK42" i="9" l="1"/>
  <c r="BK30" i="6"/>
  <c r="BK31" i="5"/>
  <c r="BK43" i="9" l="1"/>
  <c r="BK45" i="9" l="1"/>
  <c r="BK22" i="6" s="1"/>
  <c r="BK26" i="5" s="1"/>
  <c r="BK44" i="9"/>
  <c r="BL6" i="9" l="1"/>
  <c r="BK6" i="6"/>
  <c r="BK9" i="6" s="1"/>
  <c r="BL36" i="9"/>
  <c r="BK24" i="6"/>
  <c r="BK26" i="6" l="1"/>
  <c r="BP14" i="4"/>
  <c r="BK20" i="6"/>
  <c r="BP12" i="4"/>
  <c r="BL37" i="9"/>
  <c r="BL24" i="7"/>
  <c r="BK36" i="5"/>
  <c r="BL35" i="5"/>
  <c r="BP13" i="4"/>
  <c r="BK32" i="6" l="1"/>
  <c r="BL25" i="7"/>
  <c r="BK37" i="5"/>
  <c r="BK27" i="5"/>
  <c r="BL26" i="7" l="1"/>
  <c r="BL27" i="7" s="1"/>
  <c r="BL38" i="9"/>
  <c r="BK32" i="5"/>
  <c r="BP16" i="4"/>
  <c r="BP17" i="4" s="1"/>
  <c r="BL6" i="5" l="1"/>
  <c r="BL9" i="5" s="1"/>
  <c r="BL14" i="5" s="1"/>
  <c r="BL28" i="7"/>
  <c r="BK33" i="5"/>
  <c r="BP18" i="4"/>
  <c r="BL39" i="9" l="1"/>
  <c r="BL30" i="5"/>
  <c r="BL29" i="7"/>
  <c r="BL29" i="6" s="1"/>
  <c r="BK39" i="5"/>
  <c r="BP19" i="4"/>
  <c r="BL31" i="5" l="1"/>
  <c r="BL40" i="9"/>
  <c r="BL41" i="9" s="1"/>
  <c r="BL42" i="9" s="1"/>
  <c r="BL43" i="9" l="1"/>
  <c r="BL45" i="9" s="1"/>
  <c r="BL22" i="6" s="1"/>
  <c r="BL26" i="5" s="1"/>
  <c r="BL30" i="6"/>
  <c r="BL44" i="9" l="1"/>
  <c r="BM36" i="9"/>
  <c r="BM37" i="9" l="1"/>
  <c r="BM24" i="7"/>
  <c r="BM6" i="9"/>
  <c r="BL6" i="6"/>
  <c r="BL9" i="6" s="1"/>
  <c r="BL20" i="6" l="1"/>
  <c r="BQ12" i="4"/>
  <c r="BQ13" i="4"/>
  <c r="BL36" i="5"/>
  <c r="BM35" i="5"/>
  <c r="BL24" i="6"/>
  <c r="BL26" i="6" l="1"/>
  <c r="BL32" i="6" s="1"/>
  <c r="BQ14" i="4"/>
  <c r="BL37" i="5"/>
  <c r="BL27" i="5"/>
  <c r="BL32" i="5" s="1"/>
  <c r="BL33" i="5" s="1"/>
  <c r="BL39" i="5" l="1"/>
  <c r="BM25" i="7"/>
  <c r="BQ16" i="4"/>
  <c r="BQ17" i="4" s="1"/>
  <c r="BQ18" i="4" s="1"/>
  <c r="BQ19" i="4" s="1"/>
  <c r="BM26" i="7" l="1"/>
  <c r="BM27" i="7" s="1"/>
  <c r="BM38" i="9"/>
  <c r="BM6" i="5" l="1"/>
  <c r="BM9" i="5" s="1"/>
  <c r="BM14" i="5" s="1"/>
  <c r="BM28" i="7"/>
  <c r="BM39" i="9" l="1"/>
  <c r="BM40" i="9" s="1"/>
  <c r="BM41" i="9" s="1"/>
  <c r="BM42" i="9" s="1"/>
  <c r="BM30" i="5"/>
  <c r="BM31" i="5" s="1"/>
  <c r="BM29" i="7"/>
  <c r="BM29" i="6" s="1"/>
  <c r="BM43" i="9" l="1"/>
  <c r="BM45" i="9" s="1"/>
  <c r="BM22" i="6" s="1"/>
  <c r="BM26" i="5" s="1"/>
  <c r="BM30" i="6"/>
  <c r="BN36" i="9" l="1"/>
  <c r="BM44" i="9"/>
  <c r="BN6" i="9" l="1"/>
  <c r="BM6" i="6"/>
  <c r="BM9" i="6" s="1"/>
  <c r="BN37" i="9"/>
  <c r="BN24" i="7"/>
  <c r="BM20" i="6" l="1"/>
  <c r="BR12" i="4"/>
  <c r="BM36" i="5"/>
  <c r="BN35" i="5"/>
  <c r="BR13" i="4"/>
  <c r="BM24" i="6"/>
  <c r="BM26" i="6" l="1"/>
  <c r="BM32" i="6" s="1"/>
  <c r="BR14" i="4"/>
  <c r="BM37" i="5"/>
  <c r="BM27" i="5"/>
  <c r="BM32" i="5" s="1"/>
  <c r="BM33" i="5" s="1"/>
  <c r="BM39" i="5" s="1"/>
  <c r="BN25" i="7" l="1"/>
  <c r="BR16" i="4"/>
  <c r="BR17" i="4" s="1"/>
  <c r="BR18" i="4" s="1"/>
  <c r="BR19" i="4" s="1"/>
  <c r="BN26" i="7" l="1"/>
  <c r="BN27" i="7" s="1"/>
  <c r="BN38" i="9"/>
  <c r="BN6" i="5" l="1"/>
  <c r="BN9" i="5" s="1"/>
  <c r="BN14" i="5" s="1"/>
  <c r="BN28" i="7"/>
  <c r="BN39" i="9" l="1"/>
  <c r="BN40" i="9" s="1"/>
  <c r="BN41" i="9" s="1"/>
  <c r="BN42" i="9" s="1"/>
  <c r="BN43" i="9" s="1"/>
  <c r="BN45" i="9" s="1"/>
  <c r="BN22" i="6" s="1"/>
  <c r="BN26" i="5" s="1"/>
  <c r="BN30" i="5"/>
  <c r="BN29" i="7"/>
  <c r="BN29" i="6" s="1"/>
  <c r="BN31" i="5" l="1"/>
  <c r="BO36" i="9"/>
  <c r="BN44" i="9"/>
  <c r="BN30" i="6"/>
  <c r="BO6" i="9" l="1"/>
  <c r="BN6" i="6"/>
  <c r="BN9" i="6" s="1"/>
  <c r="BO37" i="9"/>
  <c r="BO24" i="7"/>
  <c r="BN20" i="6" l="1"/>
  <c r="BS12" i="4"/>
  <c r="BN36" i="5"/>
  <c r="BO35" i="5"/>
  <c r="BS13" i="4"/>
  <c r="BN24" i="6"/>
  <c r="BN26" i="6" l="1"/>
  <c r="BN32" i="6" s="1"/>
  <c r="BS14" i="4"/>
  <c r="BN37" i="5"/>
  <c r="BN27" i="5"/>
  <c r="BN32" i="5" s="1"/>
  <c r="BN33" i="5" s="1"/>
  <c r="BN39" i="5" s="1"/>
  <c r="BO25" i="7" l="1"/>
  <c r="BS16" i="4"/>
  <c r="BS17" i="4" s="1"/>
  <c r="BS18" i="4" s="1"/>
  <c r="BS19" i="4" s="1"/>
  <c r="BO26" i="7" l="1"/>
  <c r="BO27" i="7" s="1"/>
  <c r="BO38" i="9"/>
  <c r="BO6" i="5" l="1"/>
  <c r="BO9" i="5" s="1"/>
  <c r="BO14" i="5" s="1"/>
  <c r="BO28" i="7"/>
  <c r="BO39" i="9" l="1"/>
  <c r="BO40" i="9" s="1"/>
  <c r="BO41" i="9" s="1"/>
  <c r="BO42" i="9" s="1"/>
  <c r="BO43" i="9" s="1"/>
  <c r="BO45" i="9" s="1"/>
  <c r="BO22" i="6" s="1"/>
  <c r="BO30" i="5"/>
  <c r="BO31" i="5" s="1"/>
  <c r="BO29" i="7"/>
  <c r="BO29" i="6" s="1"/>
  <c r="BO26" i="5" l="1"/>
  <c r="BO27" i="5" s="1"/>
  <c r="BO32" i="5" s="1"/>
  <c r="BO33" i="5" s="1"/>
  <c r="BO24" i="6"/>
  <c r="BP36" i="9"/>
  <c r="BO44" i="9"/>
  <c r="BO30" i="6"/>
  <c r="BP6" i="9" l="1"/>
  <c r="BO6" i="6"/>
  <c r="BO26" i="6"/>
  <c r="BT14" i="4"/>
  <c r="BP37" i="9"/>
  <c r="BP24" i="7"/>
  <c r="BP25" i="7" s="1"/>
  <c r="BP26" i="7" l="1"/>
  <c r="BP27" i="7" s="1"/>
  <c r="BP38" i="9"/>
  <c r="BO36" i="5"/>
  <c r="BO37" i="5" s="1"/>
  <c r="BO39" i="5" s="1"/>
  <c r="BP35" i="5"/>
  <c r="BT13" i="4"/>
  <c r="BO9" i="6"/>
  <c r="BO20" i="6" l="1"/>
  <c r="BO32" i="6" s="1"/>
  <c r="BT12" i="4"/>
  <c r="BT16" i="4" s="1"/>
  <c r="BT17" i="4" s="1"/>
  <c r="BT18" i="4" s="1"/>
  <c r="BT19" i="4" s="1"/>
  <c r="BP6" i="5"/>
  <c r="BP9" i="5" s="1"/>
  <c r="BP14" i="5" s="1"/>
  <c r="BP28" i="7"/>
  <c r="BP39" i="9" l="1"/>
  <c r="BP40" i="9" s="1"/>
  <c r="BP41" i="9" s="1"/>
  <c r="BP42" i="9" s="1"/>
  <c r="BP30" i="5"/>
  <c r="BP31" i="5" s="1"/>
  <c r="BP29" i="7"/>
  <c r="BP29" i="6" s="1"/>
  <c r="BP43" i="9" l="1"/>
  <c r="BP45" i="9" s="1"/>
  <c r="BP22" i="6" s="1"/>
  <c r="BP26" i="5" s="1"/>
  <c r="BP30" i="6"/>
  <c r="BP24" i="6" l="1"/>
  <c r="BQ36" i="9"/>
  <c r="BP44" i="9"/>
  <c r="BP27" i="5"/>
  <c r="BP32" i="5" s="1"/>
  <c r="BP33" i="5" s="1"/>
  <c r="BQ6" i="9" l="1"/>
  <c r="BP6" i="6"/>
  <c r="BP9" i="6" s="1"/>
  <c r="BQ37" i="9"/>
  <c r="BQ24" i="7"/>
  <c r="BQ25" i="7" s="1"/>
  <c r="BP26" i="6"/>
  <c r="BU14" i="4"/>
  <c r="BQ26" i="7" l="1"/>
  <c r="BQ27" i="7" s="1"/>
  <c r="BQ38" i="9"/>
  <c r="BP20" i="6"/>
  <c r="BP32" i="6" s="1"/>
  <c r="BU12" i="4"/>
  <c r="BP36" i="5"/>
  <c r="BP37" i="5" s="1"/>
  <c r="BP39" i="5" s="1"/>
  <c r="BQ35" i="5"/>
  <c r="BU13" i="4"/>
  <c r="BU16" i="4" l="1"/>
  <c r="BU17" i="4" s="1"/>
  <c r="BU18" i="4" s="1"/>
  <c r="BU19" i="4" s="1"/>
  <c r="BQ6" i="5"/>
  <c r="BQ9" i="5" s="1"/>
  <c r="BQ14" i="5" s="1"/>
  <c r="BQ28" i="7"/>
  <c r="BQ39" i="9" l="1"/>
  <c r="BQ40" i="9" s="1"/>
  <c r="BQ41" i="9" s="1"/>
  <c r="BQ42" i="9" s="1"/>
  <c r="BQ43" i="9" s="1"/>
  <c r="BQ45" i="9" s="1"/>
  <c r="BQ22" i="6" s="1"/>
  <c r="BQ26" i="5" s="1"/>
  <c r="BQ30" i="5"/>
  <c r="BQ31" i="5" s="1"/>
  <c r="BQ29" i="7"/>
  <c r="BQ29" i="6" s="1"/>
  <c r="BQ24" i="6" l="1"/>
  <c r="BR36" i="9"/>
  <c r="BR24" i="7" s="1"/>
  <c r="S18" i="1" s="1"/>
  <c r="BQ44" i="9"/>
  <c r="BQ30" i="6"/>
  <c r="BQ27" i="5"/>
  <c r="BQ32" i="5" s="1"/>
  <c r="BQ33" i="5" s="1"/>
  <c r="BR6" i="9" l="1"/>
  <c r="BQ6" i="6"/>
  <c r="BQ26" i="6"/>
  <c r="BV14" i="4"/>
  <c r="BR37" i="9"/>
  <c r="I36" i="9"/>
  <c r="BR25" i="7"/>
  <c r="I24" i="7"/>
  <c r="AW17" i="10" s="1"/>
  <c r="BQ36" i="5" l="1"/>
  <c r="BQ37" i="5" s="1"/>
  <c r="BQ39" i="5" s="1"/>
  <c r="BR35" i="5"/>
  <c r="BV13" i="4"/>
  <c r="I25" i="7"/>
  <c r="BR38" i="9"/>
  <c r="BQ9" i="6"/>
  <c r="I37" i="9"/>
  <c r="BR26" i="7"/>
  <c r="T18" i="1"/>
  <c r="U18" i="1"/>
  <c r="BQ20" i="6" l="1"/>
  <c r="BQ32" i="6" s="1"/>
  <c r="BV12" i="4"/>
  <c r="BV16" i="4" s="1"/>
  <c r="BV17" i="4" s="1"/>
  <c r="BV18" i="4" s="1"/>
  <c r="BV19" i="4" s="1"/>
  <c r="BR6" i="5"/>
  <c r="BR28" i="7"/>
  <c r="I28" i="7" s="1"/>
  <c r="S19" i="1"/>
  <c r="T19" i="1" s="1"/>
  <c r="BR27" i="7"/>
  <c r="I26" i="7"/>
  <c r="BR39" i="9" l="1"/>
  <c r="I39" i="9" s="1"/>
  <c r="BR30" i="5"/>
  <c r="I27" i="7"/>
  <c r="AW18" i="10"/>
  <c r="I38" i="9"/>
  <c r="U19" i="1"/>
  <c r="BR29" i="7"/>
  <c r="BR9" i="5"/>
  <c r="I6" i="5"/>
  <c r="BR40" i="9" l="1"/>
  <c r="BR41" i="9" s="1"/>
  <c r="S10" i="1" s="1"/>
  <c r="I29" i="7"/>
  <c r="BR29" i="6"/>
  <c r="I29" i="6" s="1"/>
  <c r="BR14" i="5"/>
  <c r="I9" i="5"/>
  <c r="BR31" i="5"/>
  <c r="I31" i="5" s="1"/>
  <c r="I30" i="5"/>
  <c r="I40" i="9" l="1"/>
  <c r="BR30" i="6"/>
  <c r="I30" i="6" s="1"/>
  <c r="AW22" i="10" s="1"/>
  <c r="I14" i="5"/>
  <c r="AW24" i="10" s="1"/>
  <c r="S25" i="1"/>
  <c r="T25" i="1" s="1"/>
  <c r="S23" i="1"/>
  <c r="U23" i="1" s="1"/>
  <c r="I41" i="9"/>
  <c r="BR42" i="9"/>
  <c r="T23" i="1" l="1"/>
  <c r="U25" i="1"/>
  <c r="BR43" i="9"/>
  <c r="S11" i="1" s="1"/>
  <c r="I42" i="9"/>
  <c r="I43" i="9" l="1"/>
  <c r="AW7" i="10" s="1"/>
  <c r="BR45" i="9"/>
  <c r="BR44" i="9"/>
  <c r="U10" i="1"/>
  <c r="T10" i="1"/>
  <c r="I44" i="9" l="1"/>
  <c r="BR6" i="6"/>
  <c r="I6" i="6" s="1"/>
  <c r="I36" i="5" s="1"/>
  <c r="I45" i="9"/>
  <c r="AW8" i="10" s="1"/>
  <c r="BR22" i="6"/>
  <c r="BR26" i="5" s="1"/>
  <c r="S12" i="1"/>
  <c r="T12" i="1" s="1"/>
  <c r="T11" i="1"/>
  <c r="U11" i="1"/>
  <c r="BR9" i="6" l="1"/>
  <c r="BW12" i="4" s="1"/>
  <c r="M12" i="4" s="1"/>
  <c r="U12" i="1"/>
  <c r="BR36" i="5"/>
  <c r="BR37" i="5" s="1"/>
  <c r="BW13" i="4"/>
  <c r="M13" i="4" s="1"/>
  <c r="I22" i="6"/>
  <c r="BR24" i="6"/>
  <c r="BW14" i="4" s="1"/>
  <c r="M14" i="4" s="1"/>
  <c r="I37" i="5"/>
  <c r="BR27" i="5"/>
  <c r="I26" i="5"/>
  <c r="I9" i="6" l="1"/>
  <c r="BR20" i="6"/>
  <c r="S21" i="1" s="1"/>
  <c r="T21" i="1" s="1"/>
  <c r="BR26" i="6"/>
  <c r="I24" i="6"/>
  <c r="BR32" i="5"/>
  <c r="S27" i="1" s="1"/>
  <c r="I27" i="5"/>
  <c r="BW16" i="4"/>
  <c r="U21" i="1" l="1"/>
  <c r="I20" i="6"/>
  <c r="AW20" i="10" s="1"/>
  <c r="I26" i="6"/>
  <c r="AW21" i="10" s="1"/>
  <c r="S22" i="1"/>
  <c r="BR32" i="6"/>
  <c r="BR33" i="5"/>
  <c r="I32" i="5"/>
  <c r="AW26" i="10" s="1"/>
  <c r="BW17" i="4"/>
  <c r="M16" i="4"/>
  <c r="I32" i="6" l="1"/>
  <c r="BR39" i="5"/>
  <c r="I33" i="5"/>
  <c r="I39" i="5" s="1"/>
  <c r="BW18" i="4"/>
  <c r="M17" i="4"/>
  <c r="T27" i="1"/>
  <c r="U27" i="1"/>
  <c r="U22" i="1"/>
  <c r="T22" i="1"/>
  <c r="BW19" i="4" l="1"/>
  <c r="H23" i="4" s="1" a="1"/>
  <c r="H23" i="4" s="1"/>
  <c r="M18" i="4"/>
  <c r="M19" i="4" l="1"/>
  <c r="BZ12" i="1" l="1"/>
  <c r="AI20" i="3"/>
  <c r="AI23" i="3" s="1"/>
  <c r="AI26" i="3" s="1"/>
  <c r="H24" i="4"/>
  <c r="H25" i="4" l="1"/>
  <c r="H28" i="4" l="1"/>
  <c r="G29" i="1"/>
  <c r="AQ29" i="10"/>
  <c r="AQ30" i="10" l="1"/>
  <c r="G43" i="3"/>
  <c r="H43" i="3" s="1"/>
  <c r="H50" i="3" s="1"/>
  <c r="G30" i="1"/>
  <c r="J42" i="3" l="1"/>
  <c r="J39" i="3"/>
  <c r="J36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21BC1BC6-87E9-4DE0-B2F7-DD37FBAAFB94}">
      <text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B3" authorId="0" shapeId="0" xr:uid="{6F5ECB33-CCE0-4F4B-874B-B4CF4EECD61E}">
      <text/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1E6C35ED-FC7B-4057-9F29-586E0D510595}">
      <text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6B808DF7-EFEF-4844-A82B-8250743A9AFA}">
      <text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68C68831-9788-4645-8BD5-24805133D967}">
      <text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370E1621-5623-41C6-8A65-8CE06A68AEAD}">
      <text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788F0EEF-D689-4B04-A999-7C93330AA69F}">
      <text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3378A37A-3E76-4F9B-88FD-2543F86E95B7}">
      <text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CBD8A6CC-BCEE-4B4E-A8DB-CA9A8EDEE36F}">
      <text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EBF5B94C-B7A0-4536-83C0-F2A002D9211D}">
      <text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<sst xmlns="http://schemas.openxmlformats.org/spreadsheetml/2006/main" count="816" uniqueCount="382">
  <si>
    <t>info</t>
  </si>
  <si>
    <t>5-yr Summary</t>
  </si>
  <si>
    <t>y1</t>
  </si>
  <si>
    <t>y2</t>
  </si>
  <si>
    <t>y/y</t>
  </si>
  <si>
    <t>y/y %</t>
  </si>
  <si>
    <t>y3</t>
  </si>
  <si>
    <t>y4</t>
  </si>
  <si>
    <t>y5</t>
  </si>
  <si>
    <t>Capital Expenditures</t>
  </si>
  <si>
    <t>Sensitivity</t>
  </si>
  <si>
    <t>Growth</t>
  </si>
  <si>
    <t>WACC</t>
  </si>
  <si>
    <t>P&amp;L</t>
  </si>
  <si>
    <t>Expenditures</t>
  </si>
  <si>
    <t>----</t>
  </si>
  <si>
    <t>---------</t>
  </si>
  <si>
    <t>-------------</t>
  </si>
  <si>
    <t>-------</t>
  </si>
  <si>
    <t>------</t>
  </si>
  <si>
    <t>-------------------</t>
  </si>
  <si>
    <t>-----------</t>
  </si>
  <si>
    <t>Depreciation expense</t>
  </si>
  <si>
    <t>|</t>
  </si>
  <si>
    <t>Drivers</t>
  </si>
  <si>
    <t>Calculation</t>
  </si>
  <si>
    <t>Graph</t>
  </si>
  <si>
    <t>Base</t>
  </si>
  <si>
    <t>CMGR</t>
  </si>
  <si>
    <t>CAGR</t>
  </si>
  <si>
    <t>Weighted cost</t>
  </si>
  <si>
    <t>Cost</t>
  </si>
  <si>
    <t>Pct of total</t>
  </si>
  <si>
    <t>Line of Credit</t>
  </si>
  <si>
    <t>Units</t>
  </si>
  <si>
    <t>Metric</t>
  </si>
  <si>
    <t>Value</t>
  </si>
  <si>
    <t>Slope</t>
  </si>
  <si>
    <t>Rank</t>
  </si>
  <si>
    <t>Order</t>
  </si>
  <si>
    <t>Common</t>
  </si>
  <si>
    <t>UNITS</t>
  </si>
  <si>
    <r>
      <t>Cash in/</t>
    </r>
    <r>
      <rPr>
        <sz val="9.5"/>
        <color rgb="FFFF0000"/>
        <rFont val="Calibri"/>
        <family val="2"/>
        <scheme val="minor"/>
      </rPr>
      <t>out</t>
    </r>
  </si>
  <si>
    <t>Price</t>
  </si>
  <si>
    <t>Preferred</t>
  </si>
  <si>
    <t>PRICE</t>
  </si>
  <si>
    <r>
      <t>Cash borrowed/</t>
    </r>
    <r>
      <rPr>
        <sz val="9.5"/>
        <color rgb="FFFF0000"/>
        <rFont val="Calibri"/>
        <family val="2"/>
        <scheme val="minor"/>
      </rPr>
      <t>repaid</t>
    </r>
  </si>
  <si>
    <t>COGS</t>
  </si>
  <si>
    <t>L/T Debt</t>
  </si>
  <si>
    <t>Balance</t>
  </si>
  <si>
    <t>OH</t>
  </si>
  <si>
    <t>WACC =</t>
  </si>
  <si>
    <t>Income Statement</t>
  </si>
  <si>
    <t>salary</t>
  </si>
  <si>
    <t>S/T Debt</t>
  </si>
  <si>
    <t>Revenue</t>
  </si>
  <si>
    <t>bonus</t>
  </si>
  <si>
    <t>Credit</t>
  </si>
  <si>
    <t>Cost of Goods Sold</t>
  </si>
  <si>
    <t>Cmsns</t>
  </si>
  <si>
    <t>Payroll expense</t>
  </si>
  <si>
    <t>Depn</t>
  </si>
  <si>
    <t>Overhead expense</t>
  </si>
  <si>
    <t>EBIT</t>
  </si>
  <si>
    <t>Interest expense</t>
  </si>
  <si>
    <t>Payroll</t>
  </si>
  <si>
    <t>Net Earnings</t>
  </si>
  <si>
    <t>Balance Sheet</t>
  </si>
  <si>
    <t>Assets</t>
  </si>
  <si>
    <t>Overhead</t>
  </si>
  <si>
    <t>Liabilities</t>
  </si>
  <si>
    <t>Equity</t>
  </si>
  <si>
    <t>Cash Flow Statement</t>
  </si>
  <si>
    <t>Comsn</t>
  </si>
  <si>
    <t>Cash from Operations</t>
  </si>
  <si>
    <t>Cash from Investing</t>
  </si>
  <si>
    <t>Cash from Financing</t>
  </si>
  <si>
    <t>Valuation</t>
  </si>
  <si>
    <t>Discounted Cash Flow</t>
  </si>
  <si>
    <t>Enterprise</t>
  </si>
  <si>
    <t>Industry Multiple</t>
  </si>
  <si>
    <t>EV/EBITDA</t>
  </si>
  <si>
    <t>P/E ratio</t>
  </si>
  <si>
    <t>Analysis</t>
  </si>
  <si>
    <t>Indicators</t>
  </si>
  <si>
    <t>Value Drivers</t>
  </si>
  <si>
    <t>Profitability</t>
  </si>
  <si>
    <r>
      <rPr>
        <b/>
        <sz val="11"/>
        <color theme="1"/>
        <rFont val="Calibri"/>
        <family val="2"/>
        <scheme val="minor"/>
      </rPr>
      <t>Ratios</t>
    </r>
    <r>
      <rPr>
        <sz val="11"/>
        <color theme="1"/>
        <rFont val="Calibri"/>
        <family val="2"/>
        <scheme val="minor"/>
      </rPr>
      <t>:  Compare 2 KPIs to measure health &amp; performance</t>
    </r>
  </si>
  <si>
    <r>
      <rPr>
        <b/>
        <sz val="11"/>
        <rFont val="Calibri"/>
        <family val="2"/>
        <scheme val="minor"/>
      </rPr>
      <t>Sensitivity</t>
    </r>
    <r>
      <rPr>
        <sz val="11"/>
        <rFont val="Calibri"/>
        <family val="2"/>
        <scheme val="minor"/>
      </rPr>
      <t>: EBIT multiplier when a driver's value increases</t>
    </r>
  </si>
  <si>
    <r>
      <rPr>
        <b/>
        <sz val="11"/>
        <color theme="1"/>
        <rFont val="Calibri"/>
        <family val="2"/>
        <scheme val="minor"/>
      </rPr>
      <t>Economic Profit</t>
    </r>
    <r>
      <rPr>
        <sz val="11"/>
        <color theme="1"/>
        <rFont val="Calibri"/>
        <family val="2"/>
        <scheme val="minor"/>
      </rPr>
      <t>:  Marginal return after covering costs</t>
    </r>
  </si>
  <si>
    <t xml:space="preserve">          </t>
  </si>
  <si>
    <t xml:space="preserve">                         </t>
  </si>
  <si>
    <t xml:space="preserve">                   </t>
  </si>
  <si>
    <t xml:space="preserve">      </t>
  </si>
  <si>
    <t>Measure</t>
  </si>
  <si>
    <t>Name</t>
  </si>
  <si>
    <t>Formula</t>
  </si>
  <si>
    <t>Calc</t>
  </si>
  <si>
    <t>Term</t>
  </si>
  <si>
    <t>Liquidity</t>
  </si>
  <si>
    <t>Current Ratio</t>
  </si>
  <si>
    <t>Curr Assets / Curr Liabs</t>
  </si>
  <si>
    <t>Taxed EBIT</t>
  </si>
  <si>
    <t>EBIT * (1-Tax %)</t>
  </si>
  <si>
    <t>Cash Ratio</t>
  </si>
  <si>
    <t>Cash / Curr Liabilities</t>
  </si>
  <si>
    <t>Invested capital</t>
  </si>
  <si>
    <t>Assets - Current Liabilities</t>
  </si>
  <si>
    <t>Efficiency</t>
  </si>
  <si>
    <t>Asset Turns</t>
  </si>
  <si>
    <t>Revenue / Assets</t>
  </si>
  <si>
    <t>Return on Invested Capital</t>
  </si>
  <si>
    <t>Taxed EBIT / Invesetd Cap</t>
  </si>
  <si>
    <t>Leverage</t>
  </si>
  <si>
    <t>Debt-Equity Ratio</t>
  </si>
  <si>
    <t>Debt / Equity</t>
  </si>
  <si>
    <t>Weighted Avg Cost of Capital</t>
  </si>
  <si>
    <t>Operating Margin</t>
  </si>
  <si>
    <t>Op Income / Sales</t>
  </si>
  <si>
    <t xml:space="preserve">Excess Profit </t>
  </si>
  <si>
    <t>ROIC - WACC</t>
  </si>
  <si>
    <t>Net Margin</t>
  </si>
  <si>
    <t>Earnings / Sales</t>
  </si>
  <si>
    <t>Economic Profit</t>
  </si>
  <si>
    <t>Excess Proft * Investd Cap</t>
  </si>
  <si>
    <r>
      <rPr>
        <b/>
        <sz val="11"/>
        <color theme="1"/>
        <rFont val="Calibri"/>
        <family val="2"/>
        <scheme val="minor"/>
      </rPr>
      <t>Distress</t>
    </r>
    <r>
      <rPr>
        <sz val="11"/>
        <color theme="1"/>
        <rFont val="Calibri"/>
        <family val="2"/>
        <scheme val="minor"/>
      </rPr>
      <t>:  Use a composite metric to calculate default risk</t>
    </r>
  </si>
  <si>
    <r>
      <rPr>
        <b/>
        <sz val="11"/>
        <color theme="1"/>
        <rFont val="Calibri"/>
        <family val="2"/>
        <scheme val="minor"/>
      </rPr>
      <t>WACC</t>
    </r>
    <r>
      <rPr>
        <sz val="11"/>
        <color theme="1"/>
        <rFont val="Calibri"/>
        <family val="2"/>
        <scheme val="minor"/>
      </rPr>
      <t>:  Return that covers the cost of capital from all sources</t>
    </r>
  </si>
  <si>
    <r>
      <rPr>
        <b/>
        <sz val="11"/>
        <color theme="1"/>
        <rFont val="Calibri"/>
        <family val="2"/>
        <scheme val="minor"/>
      </rPr>
      <t>Breakeven</t>
    </r>
    <r>
      <rPr>
        <sz val="11"/>
        <color theme="1"/>
        <rFont val="Calibri"/>
        <family val="2"/>
        <scheme val="minor"/>
      </rPr>
      <t>:  Volume necessary to achieve profitability</t>
    </r>
  </si>
  <si>
    <t>Mult</t>
  </si>
  <si>
    <t>Ratio</t>
  </si>
  <si>
    <t xml:space="preserve">         Assessment         </t>
  </si>
  <si>
    <t xml:space="preserve"> Range</t>
  </si>
  <si>
    <t>Score</t>
  </si>
  <si>
    <t>Risk</t>
  </si>
  <si>
    <t>Wkg Capital/Assets</t>
  </si>
  <si>
    <t xml:space="preserve">       Fixed Costs       </t>
  </si>
  <si>
    <t>Breakeven units * Price</t>
  </si>
  <si>
    <t>&lt;1.81</t>
  </si>
  <si>
    <t>High</t>
  </si>
  <si>
    <t>Contribut'n margin</t>
  </si>
  <si>
    <t>Retained Earnings</t>
  </si>
  <si>
    <t>1.81 - 2.99</t>
  </si>
  <si>
    <t>Med</t>
  </si>
  <si>
    <t>Setup</t>
  </si>
  <si>
    <t>Payroll+OH+Deprec</t>
  </si>
  <si>
    <t>EBIT / Assets</t>
  </si>
  <si>
    <t>Price - Unit COGS</t>
  </si>
  <si>
    <t>&gt;2.99</t>
  </si>
  <si>
    <t>Low</t>
  </si>
  <si>
    <t>MV Equity / Debt</t>
  </si>
  <si>
    <t>Sales / Total Assets</t>
  </si>
  <si>
    <t>Sum ("Z-score")</t>
  </si>
  <si>
    <t>Brkeven</t>
  </si>
  <si>
    <t>Note: metrics use y2 values</t>
  </si>
  <si>
    <t>Free Cash Flow</t>
  </si>
  <si>
    <t>Taxes</t>
  </si>
  <si>
    <t>+ Depreciation</t>
  </si>
  <si>
    <t>- CapEx</t>
  </si>
  <si>
    <t>plus Current Assets</t>
  </si>
  <si>
    <t>minus Cash</t>
  </si>
  <si>
    <t>minus Curr Liabilities</t>
  </si>
  <si>
    <t>add back s/t debt</t>
  </si>
  <si>
    <t>Working capital</t>
  </si>
  <si>
    <t>∆ in working capital</t>
  </si>
  <si>
    <t>- ∆ in Wkg Cap</t>
  </si>
  <si>
    <t xml:space="preserve">Discounted Cash Flow </t>
  </si>
  <si>
    <t>Industry Comps</t>
  </si>
  <si>
    <t>PV FCF</t>
  </si>
  <si>
    <t>PV terminal</t>
  </si>
  <si>
    <t>EBITDA</t>
  </si>
  <si>
    <t>Enterprise value</t>
  </si>
  <si>
    <t>- Debt y2</t>
  </si>
  <si>
    <t>Price/Earnings</t>
  </si>
  <si>
    <t>+ Cash y2</t>
  </si>
  <si>
    <t>Earnings</t>
  </si>
  <si>
    <t>Equity value</t>
  </si>
  <si>
    <t>Cash Flow</t>
  </si>
  <si>
    <t>Net Income</t>
  </si>
  <si>
    <t>Depreciation</t>
  </si>
  <si>
    <r>
      <t>Asset sales gain/</t>
    </r>
    <r>
      <rPr>
        <sz val="9.5"/>
        <color rgb="FFFF0000"/>
        <rFont val="Calibri"/>
        <family val="2"/>
        <scheme val="minor"/>
      </rPr>
      <t>loss</t>
    </r>
  </si>
  <si>
    <r>
      <t>Adjustmts</t>
    </r>
    <r>
      <rPr>
        <sz val="8"/>
        <rFont val="Calibri"/>
        <family val="2"/>
        <scheme val="minor"/>
      </rPr>
      <t xml:space="preserve"> </t>
    </r>
    <r>
      <rPr>
        <sz val="9.5"/>
        <rFont val="Calibri"/>
        <family val="2"/>
        <scheme val="minor"/>
      </rPr>
      <t>to</t>
    </r>
    <r>
      <rPr>
        <sz val="8"/>
        <rFont val="Calibri"/>
        <family val="2"/>
        <scheme val="minor"/>
      </rPr>
      <t xml:space="preserve"> </t>
    </r>
    <r>
      <rPr>
        <sz val="9.5"/>
        <rFont val="Calibri"/>
        <family val="2"/>
        <scheme val="minor"/>
      </rPr>
      <t>Net Income</t>
    </r>
  </si>
  <si>
    <t>Accounts Receivable</t>
  </si>
  <si>
    <t>Inventory</t>
  </si>
  <si>
    <t>Accounts Payable</t>
  </si>
  <si>
    <t xml:space="preserve"> in Wkg Capital</t>
  </si>
  <si>
    <t>Capital expenditures</t>
  </si>
  <si>
    <t>Asset sales</t>
  </si>
  <si>
    <t>Cash from debt</t>
  </si>
  <si>
    <t>Dividends</t>
  </si>
  <si>
    <t>Cash from equity</t>
  </si>
  <si>
    <t>Cash in/out</t>
  </si>
  <si>
    <t>Starting cash balance</t>
  </si>
  <si>
    <t>Ending cash balance</t>
  </si>
  <si>
    <t>∆ Balance Sheet</t>
  </si>
  <si>
    <t>chk</t>
  </si>
  <si>
    <t>Cash</t>
  </si>
  <si>
    <t>Current Assets</t>
  </si>
  <si>
    <t>Facilities</t>
  </si>
  <si>
    <t>Equipment</t>
  </si>
  <si>
    <t>Fixtures</t>
  </si>
  <si>
    <t>Intangibles</t>
  </si>
  <si>
    <t>Capital Expenses</t>
  </si>
  <si>
    <t>Accumulated Deprec</t>
  </si>
  <si>
    <t>Salvage Value</t>
  </si>
  <si>
    <t>Net Fixed Assets</t>
  </si>
  <si>
    <t>Line of credit</t>
  </si>
  <si>
    <t>Short-term debt</t>
  </si>
  <si>
    <t>Current Liabilities</t>
  </si>
  <si>
    <t>Long-term debt</t>
  </si>
  <si>
    <t>Preferred stock</t>
  </si>
  <si>
    <t>Common stock</t>
  </si>
  <si>
    <r>
      <t xml:space="preserve">Profit </t>
    </r>
    <r>
      <rPr>
        <sz val="12"/>
        <rFont val="Calibri"/>
        <family val="2"/>
        <scheme val="minor"/>
      </rPr>
      <t>&amp;</t>
    </r>
    <r>
      <rPr>
        <sz val="15"/>
        <rFont val="Calibri"/>
        <family val="2"/>
        <scheme val="minor"/>
      </rPr>
      <t xml:space="preserve"> Loss</t>
    </r>
  </si>
  <si>
    <t>Gross Margin</t>
  </si>
  <si>
    <t>Gross Margin %</t>
  </si>
  <si>
    <t>Commissions</t>
  </si>
  <si>
    <t>Operating expense</t>
  </si>
  <si>
    <t>Income taxes</t>
  </si>
  <si>
    <t>Net Margin %</t>
  </si>
  <si>
    <t>Capital Expense</t>
  </si>
  <si>
    <t>Facility</t>
  </si>
  <si>
    <t>Equip</t>
  </si>
  <si>
    <t>Fixture</t>
  </si>
  <si>
    <t>Intang</t>
  </si>
  <si>
    <t>Land</t>
  </si>
  <si>
    <t>All other</t>
  </si>
  <si>
    <t>Accum. Depreciation</t>
  </si>
  <si>
    <t>Salvage Proceeds</t>
  </si>
  <si>
    <r>
      <t>Gain/</t>
    </r>
    <r>
      <rPr>
        <b/>
        <sz val="9.5"/>
        <color rgb="FFFF0000"/>
        <rFont val="Calibri"/>
        <family val="2"/>
        <scheme val="minor"/>
      </rPr>
      <t>Loss</t>
    </r>
    <r>
      <rPr>
        <b/>
        <sz val="9.5"/>
        <rFont val="Calibri"/>
        <family val="2"/>
        <scheme val="minor"/>
      </rPr>
      <t xml:space="preserve"> on Salvage</t>
    </r>
  </si>
  <si>
    <t>Starting cash</t>
  </si>
  <si>
    <t>New Capital</t>
  </si>
  <si>
    <t>Forecasted sales</t>
  </si>
  <si>
    <t>Cash proceeds</t>
  </si>
  <si>
    <t>30-day</t>
  </si>
  <si>
    <t>60-day</t>
  </si>
  <si>
    <t>90-day</t>
  </si>
  <si>
    <t>Credit proceeds</t>
  </si>
  <si>
    <t>Cash collected</t>
  </si>
  <si>
    <t>Forecasted COGS</t>
  </si>
  <si>
    <t>Cash payments</t>
  </si>
  <si>
    <t>Credit payments</t>
  </si>
  <si>
    <t>(inventory carve-out)</t>
  </si>
  <si>
    <t>Capital expense</t>
  </si>
  <si>
    <t>Interest on S/T debt</t>
  </si>
  <si>
    <t>Interest on L/T debt</t>
  </si>
  <si>
    <t>Interest on credit line</t>
  </si>
  <si>
    <t>Cash disbursed</t>
  </si>
  <si>
    <r>
      <t>∑ Cash in/</t>
    </r>
    <r>
      <rPr>
        <b/>
        <sz val="9.5"/>
        <color rgb="FFFF0000"/>
        <rFont val="Calibri"/>
        <family val="2"/>
        <scheme val="minor"/>
      </rPr>
      <t>out</t>
    </r>
  </si>
  <si>
    <t>Unadjusted cash</t>
  </si>
  <si>
    <t>LOC borrow/lend</t>
  </si>
  <si>
    <t>Ending cash</t>
  </si>
  <si>
    <t>Credit line balance</t>
  </si>
  <si>
    <t>Capitalization</t>
  </si>
  <si>
    <t>Terms</t>
  </si>
  <si>
    <t>5-year Summary</t>
  </si>
  <si>
    <t>Debt</t>
  </si>
  <si>
    <t>Divs</t>
  </si>
  <si>
    <t>Purchase</t>
  </si>
  <si>
    <t>Salvage</t>
  </si>
  <si>
    <t>Deprc</t>
  </si>
  <si>
    <t>Dep</t>
  </si>
  <si>
    <t>Sal</t>
  </si>
  <si>
    <t xml:space="preserve">Price </t>
  </si>
  <si>
    <t xml:space="preserve">COGS </t>
  </si>
  <si>
    <t>Amont</t>
  </si>
  <si>
    <t>Comp</t>
  </si>
  <si>
    <t>Pay</t>
  </si>
  <si>
    <t>Rec'v</t>
  </si>
  <si>
    <t>Mo</t>
  </si>
  <si>
    <t>Pref</t>
  </si>
  <si>
    <t>Com</t>
  </si>
  <si>
    <t>S/T</t>
  </si>
  <si>
    <t>L/T</t>
  </si>
  <si>
    <t>% NI</t>
  </si>
  <si>
    <t>Expense</t>
  </si>
  <si>
    <t>Catgry</t>
  </si>
  <si>
    <t>$</t>
  </si>
  <si>
    <t># Mo</t>
  </si>
  <si>
    <t>Stop</t>
  </si>
  <si>
    <t>Mos</t>
  </si>
  <si>
    <t>Exp</t>
  </si>
  <si>
    <t>Off</t>
  </si>
  <si>
    <t>NAV</t>
  </si>
  <si>
    <t>Gain</t>
  </si>
  <si>
    <t>SKU</t>
  </si>
  <si>
    <t>Qu</t>
  </si>
  <si>
    <t>Amt</t>
  </si>
  <si>
    <t>Cateogry</t>
  </si>
  <si>
    <t>Title / Level</t>
  </si>
  <si>
    <t>FTE</t>
  </si>
  <si>
    <t>Bonus</t>
  </si>
  <si>
    <t xml:space="preserve"> Time</t>
  </si>
  <si>
    <t>to</t>
  </si>
  <si>
    <t>from</t>
  </si>
  <si>
    <t xml:space="preserve"> Line of Credit</t>
  </si>
  <si>
    <t>Item 1</t>
  </si>
  <si>
    <t>Rent</t>
  </si>
  <si>
    <t xml:space="preserve">   Borrow</t>
  </si>
  <si>
    <t xml:space="preserve">   Balance</t>
  </si>
  <si>
    <t xml:space="preserve"> Capital Expense</t>
  </si>
  <si>
    <t xml:space="preserve">   Spend</t>
  </si>
  <si>
    <t xml:space="preserve">   Deprec</t>
  </si>
  <si>
    <t xml:space="preserve"> Profit &amp; Loss</t>
  </si>
  <si>
    <t xml:space="preserve">   Rev</t>
  </si>
  <si>
    <t xml:space="preserve">   COGS</t>
  </si>
  <si>
    <t xml:space="preserve">   Payroll</t>
  </si>
  <si>
    <t xml:space="preserve">   OH</t>
  </si>
  <si>
    <t xml:space="preserve">   Interest</t>
  </si>
  <si>
    <t xml:space="preserve">   Earnigs</t>
  </si>
  <si>
    <t xml:space="preserve"> Balance Sheet</t>
  </si>
  <si>
    <t xml:space="preserve">   Assets</t>
  </si>
  <si>
    <t xml:space="preserve">   Debt</t>
  </si>
  <si>
    <t xml:space="preserve">   Equity</t>
  </si>
  <si>
    <t xml:space="preserve"> Cash Flows</t>
  </si>
  <si>
    <t xml:space="preserve">   Ops</t>
  </si>
  <si>
    <t>Other</t>
  </si>
  <si>
    <t xml:space="preserve">   Invest</t>
  </si>
  <si>
    <t xml:space="preserve">   Finance</t>
  </si>
  <si>
    <t xml:space="preserve"> Valuation</t>
  </si>
  <si>
    <t>Discounted CF:</t>
  </si>
  <si>
    <t>Multiples:</t>
  </si>
  <si>
    <t xml:space="preserve"> Enterprise</t>
  </si>
  <si>
    <t xml:space="preserve"> EV/EBITDA</t>
  </si>
  <si>
    <t xml:space="preserve"> Equity</t>
  </si>
  <si>
    <t xml:space="preserve"> P/E</t>
  </si>
  <si>
    <t>CapEx</t>
  </si>
  <si>
    <t>Income</t>
  </si>
  <si>
    <t>Current assets</t>
  </si>
  <si>
    <t>Operations</t>
  </si>
  <si>
    <t>Free cash flow</t>
  </si>
  <si>
    <t>Ratios</t>
  </si>
  <si>
    <t>New capital</t>
  </si>
  <si>
    <t>Gross margin</t>
  </si>
  <si>
    <t>Net fixed</t>
  </si>
  <si>
    <t>Investing</t>
  </si>
  <si>
    <t>Terminal</t>
  </si>
  <si>
    <t>Distress</t>
  </si>
  <si>
    <t>Collections</t>
  </si>
  <si>
    <t>Accum deprec</t>
  </si>
  <si>
    <t>Cash fr. equity</t>
  </si>
  <si>
    <t>Disbursements</t>
  </si>
  <si>
    <t>Current liabs</t>
  </si>
  <si>
    <t>Cash fr. debt</t>
  </si>
  <si>
    <t>Equity bridge</t>
  </si>
  <si>
    <t>Cost of capital</t>
  </si>
  <si>
    <t>Adjusted cash</t>
  </si>
  <si>
    <t>Net earnings</t>
  </si>
  <si>
    <t>L/T liabilities</t>
  </si>
  <si>
    <t>Econ. profit</t>
  </si>
  <si>
    <t>Borrow/repay</t>
  </si>
  <si>
    <t>Net salvage</t>
  </si>
  <si>
    <t>Retained</t>
  </si>
  <si>
    <t>Check balance</t>
  </si>
  <si>
    <t>Breakeven</t>
  </si>
  <si>
    <t>Machine</t>
  </si>
  <si>
    <t>Item 2</t>
  </si>
  <si>
    <t>Utilities</t>
  </si>
  <si>
    <t>Trademark</t>
  </si>
  <si>
    <t>CTO</t>
  </si>
  <si>
    <t>Developer/1</t>
  </si>
  <si>
    <t>Item 3</t>
  </si>
  <si>
    <t>Supplies</t>
  </si>
  <si>
    <t>Developer/2</t>
  </si>
  <si>
    <t xml:space="preserve"> Min. cash</t>
  </si>
  <si>
    <t xml:space="preserve"> Income tax</t>
  </si>
  <si>
    <t xml:space="preserve"> Invntory/AP</t>
  </si>
  <si>
    <t xml:space="preserve"> Commisns</t>
  </si>
  <si>
    <t xml:space="preserve"> Salary load</t>
  </si>
  <si>
    <t xml:space="preserve"> Cost of capital</t>
  </si>
  <si>
    <t xml:space="preserve">  S/T debt</t>
  </si>
  <si>
    <t xml:space="preserve">  L/T debt</t>
  </si>
  <si>
    <t xml:space="preserve">  Credit</t>
  </si>
  <si>
    <t xml:space="preserve">  Equity</t>
  </si>
  <si>
    <t xml:space="preserve">  WACC</t>
  </si>
  <si>
    <t xml:space="preserve"> Drivers</t>
  </si>
  <si>
    <t xml:space="preserve">  EV/EBITDA</t>
  </si>
  <si>
    <t xml:space="preserve">  P/E ratio</t>
  </si>
  <si>
    <t xml:space="preserve">  Terminal</t>
  </si>
  <si>
    <t xml:space="preserve"> Cash</t>
  </si>
  <si>
    <t xml:space="preserve"> 30 d</t>
  </si>
  <si>
    <t xml:space="preserve"> 60 d</t>
  </si>
  <si>
    <t xml:space="preserve"> 90 d</t>
  </si>
  <si>
    <t xml:space="preserve">  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</si>
</sst>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(* #,##0.00_);_(* \(#,##0.00\);_(* &quot;-&quot;??_);_(@_)"/>
    <numFmt numFmtId="164" formatCode="#,##0;[Red]#,##0"/>
    <numFmt numFmtId="165" formatCode="&quot;m&quot;0"/>
    <numFmt numFmtId="166" formatCode="0.0%;[Red]0.0%"/>
    <numFmt numFmtId="167" formatCode="&quot;y&quot;0"/>
    <numFmt numFmtId="168" formatCode="0.0%"/>
    <numFmt numFmtId="169" formatCode="#,##0.00;[Red]#,##0.00"/>
    <numFmt numFmtId="170" formatCode="#,##0.0"/>
    <numFmt numFmtId="171" formatCode="&quot;m.&quot;0"/>
    <numFmt numFmtId="172" formatCode="#,##0.0;[Red]#,##0.0"/>
    <numFmt numFmtId="173" formatCode="0%;[Red]0%"/>
    <numFmt numFmtId="174" formatCode="0;[Red]0"/>
    <numFmt numFmtId="175" formatCode="0.0%;[Red]\-0.0%"/>
    <numFmt numFmtId="176" formatCode="#,##0&quot; Units&quot;;[Red]#,##0&quot; Units&quot;"/>
    <numFmt numFmtId="177" formatCode="&quot;$&quot;#,##0"/>
    <numFmt numFmtId="178" formatCode="#,##0;[Red]\-#,##0"/>
    <numFmt numFmtId="179" formatCode="#,##0.0;[Red]\-#,##0.0"/>
  </numFmts>
  <fonts count="7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Verdana"/>
      <family val="2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0"/>
      <color rgb="FF0303FF"/>
      <name val="Segoe UI Semibold"/>
      <family val="2"/>
    </font>
    <font>
      <b/>
      <sz val="8"/>
      <name val="Calibri"/>
      <family val="2"/>
      <scheme val="minor"/>
    </font>
    <font>
      <sz val="15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9"/>
      <color rgb="FFC00000"/>
      <name val="Calibri"/>
      <family val="2"/>
      <scheme val="minor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sz val="9.5"/>
      <name val="Calibri"/>
      <family val="2"/>
      <scheme val="minor"/>
    </font>
    <font>
      <b/>
      <sz val="9.5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</font>
    <font>
      <sz val="9.5"/>
      <color rgb="FFFF0000"/>
      <name val="Calibri"/>
      <family val="2"/>
      <scheme val="minor"/>
    </font>
    <font>
      <sz val="9.5"/>
      <color theme="1"/>
      <name val="Calibri"/>
      <family val="2"/>
      <scheme val="minor"/>
    </font>
    <font>
      <sz val="9"/>
      <color indexed="81"/>
      <name val="Tahoma"/>
      <family val="2"/>
    </font>
    <font>
      <sz val="12"/>
      <name val="Calibri"/>
      <family val="2"/>
      <scheme val="minor"/>
    </font>
    <font>
      <sz val="9.5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.5"/>
      <name val="Calibri"/>
      <family val="2"/>
      <scheme val="minor"/>
    </font>
    <font>
      <sz val="8"/>
      <color theme="4"/>
      <name val="Calibri"/>
      <family val="2"/>
      <scheme val="minor"/>
    </font>
    <font>
      <sz val="9.5"/>
      <color theme="4"/>
      <name val="Calibri"/>
      <family val="2"/>
      <scheme val="minor"/>
    </font>
    <font>
      <sz val="9.5"/>
      <color rgb="FF820000"/>
      <name val="Calibri"/>
      <family val="2"/>
      <scheme val="minor"/>
    </font>
    <font>
      <u/>
      <sz val="9.5"/>
      <color rgb="FF820000"/>
      <name val="Calibri"/>
      <family val="2"/>
      <scheme val="minor"/>
    </font>
    <font>
      <u/>
      <sz val="9.5"/>
      <name val="Calibri"/>
      <family val="2"/>
      <scheme val="minor"/>
    </font>
    <font>
      <sz val="9"/>
      <name val="Segoe UI Variable Display"/>
    </font>
    <font>
      <sz val="9"/>
      <name val="Segoe UI Variable Display Semib"/>
    </font>
    <font>
      <sz val="9"/>
      <color rgb="FF548235"/>
      <name val="Calibri"/>
      <family val="2"/>
      <scheme val="minor"/>
    </font>
    <font>
      <sz val="9"/>
      <color rgb="FF548235"/>
      <name val="Wingdings"/>
      <charset val="2"/>
    </font>
    <font>
      <sz val="7"/>
      <color rgb="FF00A44A"/>
      <name val="Segoe UI Variable Display"/>
    </font>
    <font>
      <b/>
      <sz val="9"/>
      <name val="Segoe UI Variable Display"/>
    </font>
    <font>
      <b/>
      <i/>
      <sz val="9.5"/>
      <name val="Calibri"/>
      <family val="2"/>
      <scheme val="minor"/>
    </font>
    <font>
      <b/>
      <i/>
      <sz val="9"/>
      <name val="Segoe UI Variable Display"/>
    </font>
    <font>
      <i/>
      <sz val="9.5"/>
      <name val="Calibri"/>
      <family val="2"/>
      <scheme val="minor"/>
    </font>
    <font>
      <i/>
      <sz val="9"/>
      <name val="Segoe UI Variable Display"/>
    </font>
    <font>
      <sz val="9"/>
      <color theme="0"/>
      <name val="Segoe UI Variable Display"/>
    </font>
    <font>
      <b/>
      <sz val="9.5"/>
      <color rgb="FFFF0000"/>
      <name val="Calibri"/>
      <family val="2"/>
      <scheme val="minor"/>
    </font>
    <font>
      <sz val="8.5"/>
      <name val="Calibri"/>
      <family val="2"/>
      <scheme val="minor"/>
    </font>
    <font>
      <b/>
      <sz val="8.5"/>
      <name val="Calibri"/>
      <family val="2"/>
      <scheme val="minor"/>
    </font>
    <font>
      <b/>
      <sz val="9"/>
      <name val="Segoe UI Variable Display Semib"/>
    </font>
    <font>
      <sz val="12"/>
      <color rgb="FF000000"/>
      <name val="Calibri"/>
      <family val="2"/>
      <scheme val="minor"/>
    </font>
    <font>
      <sz val="12.5"/>
      <name val="Calibri"/>
      <family val="2"/>
      <scheme val="minor"/>
    </font>
    <font>
      <sz val="8.5"/>
      <name val="Segoe UI"/>
      <family val="2"/>
    </font>
    <font>
      <sz val="8.5"/>
      <color rgb="FF000000"/>
      <name val="Segoe UI"/>
      <family val="2"/>
    </font>
    <font>
      <u/>
      <sz val="8.5"/>
      <color rgb="FF000000"/>
      <name val="Segoe UI"/>
      <family val="2"/>
    </font>
    <font>
      <sz val="8"/>
      <color rgb="FFC00000"/>
      <name val="Calibri"/>
      <family val="2"/>
      <scheme val="minor"/>
    </font>
    <font>
      <sz val="8"/>
      <color rgb="FF000090"/>
      <name val="Calibri"/>
      <family val="2"/>
      <scheme val="minor"/>
    </font>
    <font>
      <u/>
      <sz val="8.5"/>
      <name val="Segoe UI"/>
      <family val="2"/>
    </font>
    <font>
      <b/>
      <sz val="8.5"/>
      <color rgb="FF000000"/>
      <name val="Segoe UI"/>
      <family val="2"/>
    </font>
    <font>
      <sz val="10"/>
      <color theme="1"/>
      <name val="Segoe UI Variable Display Semib"/>
    </font>
    <font>
      <sz val="10"/>
      <color theme="1"/>
      <name val="Calibri"/>
      <family val="2"/>
      <scheme val="minor"/>
    </font>
    <font>
      <b/>
      <sz val="10"/>
      <color theme="1"/>
      <name val="Segoe UI Semibold"/>
      <family val="2"/>
    </font>
    <font>
      <sz val="10"/>
      <color theme="1"/>
      <name val="Segoe UI Semibold"/>
      <family val="2"/>
    </font>
    <font>
      <sz val="8"/>
      <color theme="1"/>
      <name val="Segoe UI Variable Display Semib"/>
    </font>
    <font>
      <sz val="9"/>
      <color theme="1"/>
      <name val="Segoe UI"/>
      <family val="2"/>
    </font>
    <font>
      <sz val="8.5"/>
      <color rgb="FF000000"/>
      <name val="Segoe UI Variable Display Semib"/>
    </font>
    <font>
      <sz val="8.5"/>
      <color rgb="FF000000"/>
      <name val="Segoe UI Semibold"/>
      <family val="2"/>
    </font>
    <font>
      <sz val="8.5"/>
      <color theme="0" tint="-0.499984740745262"/>
      <name val="Segoe UI"/>
      <family val="2"/>
    </font>
    <font>
      <sz val="8"/>
      <color theme="0" tint="-0.499984740745262"/>
      <name val="Calibri"/>
      <family val="2"/>
      <scheme val="minor"/>
    </font>
    <font>
      <sz val="8"/>
      <color rgb="FFF5F5F7"/>
      <name val="Calibri"/>
      <family val="2"/>
      <scheme val="minor"/>
    </font>
    <font>
      <b/>
      <sz val="8"/>
      <color rgb="FFF5F5F7"/>
      <name val="Calibri"/>
      <family val="2"/>
      <scheme val="minor"/>
    </font>
    <font>
      <u/>
      <sz val="8"/>
      <color rgb="FFF5F5F7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5F5F7"/>
        <bgColor indexed="64"/>
      </patternFill>
    </fill>
    <fill>
      <patternFill patternType="solid">
        <fgColor rgb="FFF0F1F4"/>
        <bgColor indexed="64"/>
      </patternFill>
    </fill>
    <fill>
      <patternFill patternType="solid">
        <fgColor rgb="FFFFFFEB"/>
        <bgColor indexed="64"/>
      </patternFill>
    </fill>
    <fill>
      <patternFill patternType="solid">
        <fgColor rgb="FFFFF3F3"/>
        <bgColor indexed="64"/>
      </patternFill>
    </fill>
    <fill>
      <patternFill patternType="solid">
        <fgColor rgb="FFF0F7FC"/>
        <bgColor indexed="64"/>
      </patternFill>
    </fill>
    <fill>
      <patternFill patternType="solid">
        <fgColor theme="9" tint="0.59999389629810485"/>
        <bgColor indexed="64"/>
      </patternFill>
    </fill>
  </fills>
  <borders count="7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rgb="FFA6A6A6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rgb="FFA6A6A6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theme="0" tint="-0.24994659260841701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theme="0" tint="-0.24994659260841701"/>
      </left>
      <right/>
      <top/>
      <bottom style="thin">
        <color indexed="64"/>
      </bottom>
      <diagonal/>
    </border>
    <border>
      <left/>
      <right style="hair">
        <color theme="0" tint="-0.34998626667073579"/>
      </right>
      <top/>
      <bottom style="thin">
        <color indexed="64"/>
      </bottom>
      <diagonal/>
    </border>
    <border>
      <left/>
      <right style="hair">
        <color theme="0" tint="-0.499984740745262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theme="0" tint="-0.34998626667073579"/>
      </left>
      <right style="hair">
        <color rgb="FFD9D9D9"/>
      </right>
      <top/>
      <bottom style="thin">
        <color indexed="64"/>
      </bottom>
      <diagonal/>
    </border>
    <border>
      <left style="hair">
        <color rgb="FFD9D9D9"/>
      </left>
      <right style="hair">
        <color theme="0" tint="-0.34998626667073579"/>
      </right>
      <top/>
      <bottom style="thin">
        <color indexed="64"/>
      </bottom>
      <diagonal/>
    </border>
    <border>
      <left style="hair">
        <color rgb="FFD9D9D9"/>
      </left>
      <right style="hair">
        <color theme="0" tint="-0.499984740745262"/>
      </right>
      <top/>
      <bottom style="thin">
        <color indexed="64"/>
      </bottom>
      <diagonal/>
    </border>
    <border>
      <left style="hair">
        <color theme="0" tint="-0.24994659260841701"/>
      </left>
      <right style="hair">
        <color rgb="FFD9D9D9"/>
      </right>
      <top/>
      <bottom style="thin">
        <color indexed="64"/>
      </bottom>
      <diagonal/>
    </border>
    <border>
      <left/>
      <right style="hair">
        <color rgb="FFD9D9D9"/>
      </right>
      <top/>
      <bottom style="thin">
        <color indexed="64"/>
      </bottom>
      <diagonal/>
    </border>
    <border>
      <left style="hair">
        <color rgb="FFD9D9D9"/>
      </left>
      <right style="thin">
        <color indexed="64"/>
      </right>
      <top/>
      <bottom style="thin">
        <color indexed="64"/>
      </bottom>
      <diagonal/>
    </border>
    <border>
      <left style="hair">
        <color theme="0" tint="-0.34998626667073579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rgb="FFD9D9D9"/>
      </bottom>
      <diagonal/>
    </border>
    <border>
      <left style="hair">
        <color theme="0" tint="-0.499984740745262"/>
      </left>
      <right style="hair">
        <color rgb="FFD9D9D9"/>
      </right>
      <top/>
      <bottom style="hair">
        <color rgb="FFD9D9D9"/>
      </bottom>
      <diagonal/>
    </border>
    <border>
      <left style="hair">
        <color rgb="FFD9D9D9"/>
      </left>
      <right style="hair">
        <color theme="0" tint="-0.499984740745262"/>
      </right>
      <top/>
      <bottom style="hair">
        <color rgb="FFD9D9D9"/>
      </bottom>
      <diagonal/>
    </border>
    <border>
      <left style="hair">
        <color rgb="FFD9D9D9"/>
      </left>
      <right/>
      <top style="hair">
        <color rgb="FFD9D9D9"/>
      </top>
      <bottom style="hair">
        <color rgb="FFD9D9D9"/>
      </bottom>
      <diagonal/>
    </border>
    <border>
      <left/>
      <right style="hair">
        <color rgb="FFD9D9D9"/>
      </right>
      <top/>
      <bottom style="hair">
        <color rgb="FFD9D9D9"/>
      </bottom>
      <diagonal/>
    </border>
    <border>
      <left style="hair">
        <color rgb="FFD9D9D9"/>
      </left>
      <right style="thin">
        <color indexed="64"/>
      </right>
      <top/>
      <bottom style="hair">
        <color rgb="FFD9D9D9"/>
      </bottom>
      <diagonal/>
    </border>
    <border>
      <left style="hair">
        <color rgb="FF808080"/>
      </left>
      <right style="hair">
        <color rgb="FF808080"/>
      </right>
      <top/>
      <bottom style="hair">
        <color rgb="FF808080"/>
      </bottom>
      <diagonal/>
    </border>
    <border>
      <left style="hair">
        <color rgb="FF808080"/>
      </left>
      <right style="thin">
        <color indexed="64"/>
      </right>
      <top style="thin">
        <color indexed="64"/>
      </top>
      <bottom style="hair">
        <color rgb="FF808080"/>
      </bottom>
      <diagonal/>
    </border>
    <border>
      <left style="thin">
        <color indexed="64"/>
      </left>
      <right/>
      <top style="hair">
        <color rgb="FFD9D9D9"/>
      </top>
      <bottom style="hair">
        <color rgb="FFD9D9D9"/>
      </bottom>
      <diagonal/>
    </border>
    <border>
      <left style="hair">
        <color theme="0" tint="-0.499984740745262"/>
      </left>
      <right style="hair">
        <color rgb="FFD9D9D9"/>
      </right>
      <top style="hair">
        <color rgb="FFD9D9D9"/>
      </top>
      <bottom style="hair">
        <color rgb="FFD9D9D9"/>
      </bottom>
      <diagonal/>
    </border>
    <border>
      <left style="hair">
        <color rgb="FFD9D9D9"/>
      </left>
      <right style="hair">
        <color theme="0" tint="-0.499984740745262"/>
      </right>
      <top style="hair">
        <color rgb="FFD9D9D9"/>
      </top>
      <bottom style="hair">
        <color rgb="FFD9D9D9"/>
      </bottom>
      <diagonal/>
    </border>
    <border>
      <left/>
      <right style="thin">
        <color indexed="64"/>
      </right>
      <top style="hair">
        <color rgb="FFD9D9D9"/>
      </top>
      <bottom style="hair">
        <color rgb="FFD9D9D9"/>
      </bottom>
      <diagonal/>
    </border>
    <border>
      <left style="thin">
        <color indexed="64"/>
      </left>
      <right style="hair">
        <color rgb="FFD9D9D9"/>
      </right>
      <top style="hair">
        <color rgb="FFD9D9D9"/>
      </top>
      <bottom style="hair">
        <color rgb="FFD9D9D9"/>
      </bottom>
      <diagonal/>
    </border>
    <border>
      <left/>
      <right style="hair">
        <color rgb="FFD9D9D9"/>
      </right>
      <top style="hair">
        <color rgb="FFD9D9D9"/>
      </top>
      <bottom style="hair">
        <color rgb="FFD9D9D9"/>
      </bottom>
      <diagonal/>
    </border>
    <border>
      <left style="hair">
        <color rgb="FFD9D9D9"/>
      </left>
      <right style="thin">
        <color indexed="64"/>
      </right>
      <top style="hair">
        <color rgb="FFD9D9D9"/>
      </top>
      <bottom style="hair">
        <color rgb="FFD9D9D9"/>
      </bottom>
      <diagonal/>
    </border>
    <border>
      <left style="hair">
        <color theme="0" tint="-0.34998626667073579"/>
      </left>
      <right style="hair">
        <color rgb="FFD9D9D9"/>
      </right>
      <top style="hair">
        <color rgb="FFD9D9D9"/>
      </top>
      <bottom style="hair">
        <color rgb="FFD9D9D9"/>
      </bottom>
      <diagonal/>
    </border>
    <border>
      <left style="hair">
        <color rgb="FFD9D9D9"/>
      </left>
      <right style="hair">
        <color theme="0" tint="-0.34998626667073579"/>
      </right>
      <top style="hair">
        <color rgb="FFD9D9D9"/>
      </top>
      <bottom style="hair">
        <color rgb="FFD9D9D9"/>
      </bottom>
      <diagonal/>
    </border>
    <border>
      <left style="hair">
        <color rgb="FF808080"/>
      </left>
      <right style="hair">
        <color rgb="FF808080"/>
      </right>
      <top style="hair">
        <color rgb="FF808080"/>
      </top>
      <bottom style="hair">
        <color rgb="FF808080"/>
      </bottom>
      <diagonal/>
    </border>
    <border>
      <left style="hair">
        <color rgb="FF808080"/>
      </left>
      <right style="thin">
        <color indexed="64"/>
      </right>
      <top style="hair">
        <color rgb="FF808080"/>
      </top>
      <bottom style="hair">
        <color rgb="FF808080"/>
      </bottom>
      <diagonal/>
    </border>
    <border>
      <left/>
      <right style="thin">
        <color indexed="64"/>
      </right>
      <top style="hair">
        <color rgb="FF808080"/>
      </top>
      <bottom/>
      <diagonal/>
    </border>
    <border>
      <left/>
      <right/>
      <top style="hair">
        <color rgb="FFD9D9D9"/>
      </top>
      <bottom style="hair">
        <color rgb="FFD9D9D9"/>
      </bottom>
      <diagonal/>
    </border>
    <border>
      <left style="hair">
        <color theme="0" tint="-0.499984740745262"/>
      </left>
      <right style="thin">
        <color indexed="64"/>
      </right>
      <top style="hair">
        <color rgb="FFD9D9D9"/>
      </top>
      <bottom style="hair">
        <color rgb="FFD9D9D9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rgb="FF808080"/>
      </right>
      <top style="hair">
        <color indexed="64"/>
      </top>
      <bottom/>
      <diagonal/>
    </border>
    <border>
      <left style="hair">
        <color rgb="FF808080"/>
      </left>
      <right style="thin">
        <color indexed="64"/>
      </right>
      <top/>
      <bottom style="hair">
        <color rgb="FF808080"/>
      </bottom>
      <diagonal/>
    </border>
    <border>
      <left/>
      <right style="hair">
        <color rgb="FF808080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rgb="FFD9D9D9"/>
      </top>
      <bottom style="thin">
        <color indexed="64"/>
      </bottom>
      <diagonal/>
    </border>
    <border>
      <left style="hair">
        <color theme="0" tint="-0.499984740745262"/>
      </left>
      <right style="hair">
        <color rgb="FFD9D9D9"/>
      </right>
      <top style="hair">
        <color rgb="FFD9D9D9"/>
      </top>
      <bottom style="thin">
        <color indexed="64"/>
      </bottom>
      <diagonal/>
    </border>
    <border>
      <left style="hair">
        <color rgb="FFD9D9D9"/>
      </left>
      <right style="hair">
        <color theme="0" tint="-0.499984740745262"/>
      </right>
      <top style="hair">
        <color rgb="FFD9D9D9"/>
      </top>
      <bottom style="thin">
        <color indexed="64"/>
      </bottom>
      <diagonal/>
    </border>
    <border>
      <left/>
      <right style="thin">
        <color indexed="64"/>
      </right>
      <top style="hair">
        <color rgb="FFD9D9D9"/>
      </top>
      <bottom style="thin">
        <color indexed="64"/>
      </bottom>
      <diagonal/>
    </border>
    <border>
      <left/>
      <right/>
      <top style="hair">
        <color rgb="FFD9D9D9"/>
      </top>
      <bottom style="thin">
        <color indexed="64"/>
      </bottom>
      <diagonal/>
    </border>
    <border>
      <left style="hair">
        <color theme="0" tint="-0.499984740745262"/>
      </left>
      <right style="thin">
        <color indexed="64"/>
      </right>
      <top style="hair">
        <color rgb="FFD9D9D9"/>
      </top>
      <bottom style="thin">
        <color indexed="64"/>
      </bottom>
      <diagonal/>
    </border>
    <border>
      <left/>
      <right style="hair">
        <color rgb="FFD9D9D9"/>
      </right>
      <top style="hair">
        <color rgb="FFD9D9D9"/>
      </top>
      <bottom style="thin">
        <color indexed="64"/>
      </bottom>
      <diagonal/>
    </border>
    <border>
      <left style="hair">
        <color rgb="FFD9D9D9"/>
      </left>
      <right style="thin">
        <color indexed="64"/>
      </right>
      <top style="hair">
        <color rgb="FFD9D9D9"/>
      </top>
      <bottom style="thin">
        <color indexed="64"/>
      </bottom>
      <diagonal/>
    </border>
    <border>
      <left style="thin">
        <color indexed="64"/>
      </left>
      <right style="hair">
        <color rgb="FFD9D9D9"/>
      </right>
      <top style="hair">
        <color rgb="FFD9D9D9"/>
      </top>
      <bottom style="thin">
        <color indexed="64"/>
      </bottom>
      <diagonal/>
    </border>
    <border>
      <left style="hair">
        <color rgb="FFD9D9D9"/>
      </left>
      <right/>
      <top style="hair">
        <color rgb="FFD9D9D9"/>
      </top>
      <bottom style="thin">
        <color indexed="64"/>
      </bottom>
      <diagonal/>
    </border>
    <border>
      <left style="hair">
        <color theme="0" tint="-0.34998626667073579"/>
      </left>
      <right style="hair">
        <color rgb="FFD9D9D9"/>
      </right>
      <top style="hair">
        <color rgb="FFD9D9D9"/>
      </top>
      <bottom style="thin">
        <color indexed="64"/>
      </bottom>
      <diagonal/>
    </border>
    <border>
      <left style="hair">
        <color rgb="FFD9D9D9"/>
      </left>
      <right style="hair">
        <color theme="0" tint="-0.34998626667073579"/>
      </right>
      <top style="hair">
        <color rgb="FFD9D9D9"/>
      </top>
      <bottom style="thin">
        <color indexed="64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1" fillId="2" borderId="1" applyNumberFormat="0" applyFont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18" fillId="0" borderId="0"/>
    <xf numFmtId="43" fontId="4" fillId="0" borderId="0" applyFont="0" applyFill="0" applyBorder="0" applyAlignment="0" applyProtection="0"/>
    <xf numFmtId="0" fontId="4" fillId="0" borderId="0"/>
  </cellStyleXfs>
  <cellXfs count="645">
    <xf numFmtId="0" fontId="0" fillId="0" borderId="0" xfId="0"/>
    <xf numFmtId="0" fontId="5" fillId="3" borderId="0" xfId="4" applyFont="1" applyFill="1" applyProtection="1">
      <protection hidden="1"/>
    </xf>
    <xf numFmtId="0" fontId="5" fillId="3" borderId="0" xfId="0" applyFont="1" applyFill="1" applyProtection="1">
      <protection hidden="1"/>
    </xf>
    <xf numFmtId="0" fontId="5" fillId="3" borderId="0" xfId="0" applyFont="1" applyFill="1" applyAlignment="1" applyProtection="1">
      <alignment horizontal="center"/>
      <protection hidden="1"/>
    </xf>
    <xf numFmtId="9" fontId="5" fillId="3" borderId="0" xfId="0" applyNumberFormat="1" applyFont="1" applyFill="1" applyProtection="1">
      <protection hidden="1"/>
    </xf>
    <xf numFmtId="164" fontId="6" fillId="3" borderId="0" xfId="0" applyNumberFormat="1" applyFont="1" applyFill="1" applyProtection="1">
      <protection hidden="1"/>
    </xf>
    <xf numFmtId="164" fontId="8" fillId="3" borderId="0" xfId="4" applyNumberFormat="1" applyFont="1" applyFill="1" applyAlignment="1" applyProtection="1">
      <alignment horizontal="center"/>
      <protection hidden="1"/>
    </xf>
    <xf numFmtId="164" fontId="10" fillId="3" borderId="0" xfId="4" applyNumberFormat="1" applyFont="1" applyFill="1" applyAlignment="1" applyProtection="1">
      <alignment horizontal="center"/>
      <protection hidden="1"/>
    </xf>
    <xf numFmtId="165" fontId="11" fillId="3" borderId="0" xfId="4" applyNumberFormat="1" applyFont="1" applyFill="1" applyAlignment="1" applyProtection="1">
      <alignment horizontal="center"/>
      <protection hidden="1"/>
    </xf>
    <xf numFmtId="0" fontId="12" fillId="3" borderId="0" xfId="0" applyFont="1" applyFill="1" applyAlignment="1" applyProtection="1">
      <alignment horizontal="center"/>
      <protection hidden="1"/>
    </xf>
    <xf numFmtId="165" fontId="13" fillId="3" borderId="0" xfId="4" applyNumberFormat="1" applyFont="1" applyFill="1" applyAlignment="1" applyProtection="1">
      <alignment horizontal="center"/>
      <protection hidden="1"/>
    </xf>
    <xf numFmtId="165" fontId="14" fillId="3" borderId="0" xfId="4" applyNumberFormat="1" applyFont="1" applyFill="1" applyAlignment="1" applyProtection="1">
      <alignment horizontal="center"/>
      <protection hidden="1"/>
    </xf>
    <xf numFmtId="164" fontId="15" fillId="3" borderId="0" xfId="4" applyNumberFormat="1" applyFont="1" applyFill="1" applyAlignment="1" applyProtection="1">
      <alignment horizontal="center" vertical="center"/>
      <protection hidden="1"/>
    </xf>
    <xf numFmtId="164" fontId="6" fillId="3" borderId="0" xfId="4" applyNumberFormat="1" applyFont="1" applyFill="1" applyProtection="1">
      <protection hidden="1"/>
    </xf>
    <xf numFmtId="164" fontId="15" fillId="3" borderId="0" xfId="4" applyNumberFormat="1" applyFont="1" applyFill="1" applyProtection="1">
      <protection hidden="1"/>
    </xf>
    <xf numFmtId="164" fontId="15" fillId="3" borderId="0" xfId="0" applyNumberFormat="1" applyFont="1" applyFill="1" applyAlignment="1" applyProtection="1">
      <alignment horizontal="center"/>
      <protection hidden="1"/>
    </xf>
    <xf numFmtId="164" fontId="15" fillId="3" borderId="0" xfId="4" applyNumberFormat="1" applyFont="1" applyFill="1" applyAlignment="1" applyProtection="1">
      <alignment horizontal="center"/>
      <protection hidden="1"/>
    </xf>
    <xf numFmtId="0" fontId="6" fillId="3" borderId="0" xfId="0" applyFont="1" applyFill="1" applyProtection="1">
      <protection hidden="1"/>
    </xf>
    <xf numFmtId="0" fontId="16" fillId="3" borderId="0" xfId="0" applyFont="1" applyFill="1" applyProtection="1">
      <protection hidden="1"/>
    </xf>
    <xf numFmtId="0" fontId="15" fillId="3" borderId="0" xfId="0" applyFont="1" applyFill="1" applyProtection="1">
      <protection hidden="1"/>
    </xf>
    <xf numFmtId="0" fontId="17" fillId="3" borderId="0" xfId="0" applyFont="1" applyFill="1" applyProtection="1">
      <protection hidden="1"/>
    </xf>
    <xf numFmtId="0" fontId="15" fillId="5" borderId="0" xfId="0" applyFont="1" applyFill="1" applyAlignment="1" applyProtection="1">
      <alignment horizontal="left" vertical="center" indent="1"/>
      <protection hidden="1"/>
    </xf>
    <xf numFmtId="164" fontId="15" fillId="5" borderId="0" xfId="0" applyNumberFormat="1" applyFont="1" applyFill="1" applyAlignment="1" applyProtection="1">
      <alignment vertical="center"/>
      <protection hidden="1"/>
    </xf>
    <xf numFmtId="0" fontId="15" fillId="3" borderId="0" xfId="0" applyFont="1" applyFill="1" applyAlignment="1" applyProtection="1">
      <alignment horizontal="right"/>
      <protection hidden="1"/>
    </xf>
    <xf numFmtId="164" fontId="17" fillId="3" borderId="0" xfId="0" applyNumberFormat="1" applyFont="1" applyFill="1" applyAlignment="1" applyProtection="1">
      <alignment horizontal="right" vertical="center" indent="1"/>
      <protection hidden="1"/>
    </xf>
    <xf numFmtId="166" fontId="17" fillId="3" borderId="0" xfId="1" applyNumberFormat="1" applyFont="1" applyFill="1" applyBorder="1" applyAlignment="1" applyProtection="1">
      <alignment horizontal="right" vertical="center" indent="1"/>
      <protection hidden="1"/>
    </xf>
    <xf numFmtId="166" fontId="17" fillId="3" borderId="0" xfId="1" applyNumberFormat="1" applyFont="1" applyFill="1" applyBorder="1" applyAlignment="1" applyProtection="1">
      <alignment horizontal="center" vertical="center"/>
      <protection hidden="1"/>
    </xf>
    <xf numFmtId="164" fontId="17" fillId="3" borderId="0" xfId="0" applyNumberFormat="1" applyFont="1" applyFill="1" applyAlignment="1" applyProtection="1">
      <alignment horizontal="center" vertical="center"/>
      <protection hidden="1"/>
    </xf>
    <xf numFmtId="0" fontId="17" fillId="3" borderId="0" xfId="0" applyFont="1" applyFill="1" applyAlignment="1" applyProtection="1">
      <alignment horizontal="right" indent="1"/>
      <protection hidden="1"/>
    </xf>
    <xf numFmtId="0" fontId="20" fillId="3" borderId="0" xfId="0" applyFont="1" applyFill="1" applyProtection="1">
      <protection hidden="1"/>
    </xf>
    <xf numFmtId="0" fontId="15" fillId="5" borderId="0" xfId="0" applyFont="1" applyFill="1" applyAlignment="1" applyProtection="1">
      <alignment vertical="center"/>
      <protection hidden="1"/>
    </xf>
    <xf numFmtId="0" fontId="20" fillId="5" borderId="0" xfId="0" applyFont="1" applyFill="1" applyProtection="1">
      <protection hidden="1"/>
    </xf>
    <xf numFmtId="164" fontId="15" fillId="5" borderId="0" xfId="0" applyNumberFormat="1" applyFont="1" applyFill="1" applyProtection="1">
      <protection hidden="1"/>
    </xf>
    <xf numFmtId="164" fontId="17" fillId="3" borderId="0" xfId="0" applyNumberFormat="1" applyFont="1" applyFill="1" applyAlignment="1" applyProtection="1">
      <alignment horizontal="center"/>
      <protection hidden="1"/>
    </xf>
    <xf numFmtId="164" fontId="15" fillId="3" borderId="0" xfId="0" applyNumberFormat="1" applyFont="1" applyFill="1" applyProtection="1">
      <protection hidden="1"/>
    </xf>
    <xf numFmtId="0" fontId="0" fillId="3" borderId="0" xfId="0" applyFill="1" applyProtection="1">
      <protection hidden="1"/>
    </xf>
    <xf numFmtId="0" fontId="15" fillId="3" borderId="0" xfId="0" applyFont="1" applyFill="1" applyAlignment="1" applyProtection="1">
      <alignment vertical="center"/>
      <protection hidden="1"/>
    </xf>
    <xf numFmtId="164" fontId="6" fillId="3" borderId="0" xfId="4" applyNumberFormat="1" applyFont="1" applyFill="1" applyAlignment="1" applyProtection="1">
      <alignment horizontal="center"/>
      <protection hidden="1"/>
    </xf>
    <xf numFmtId="164" fontId="6" fillId="3" borderId="0" xfId="5" applyNumberFormat="1" applyFont="1" applyFill="1" applyProtection="1">
      <protection hidden="1"/>
    </xf>
    <xf numFmtId="164" fontId="6" fillId="3" borderId="0" xfId="0" applyNumberFormat="1" applyFont="1" applyFill="1" applyAlignment="1" applyProtection="1">
      <alignment horizontal="center"/>
      <protection hidden="1"/>
    </xf>
    <xf numFmtId="164" fontId="8" fillId="3" borderId="0" xfId="4" applyNumberFormat="1" applyFont="1" applyFill="1" applyProtection="1">
      <protection hidden="1"/>
    </xf>
    <xf numFmtId="164" fontId="13" fillId="3" borderId="0" xfId="4" applyNumberFormat="1" applyFont="1" applyFill="1" applyAlignment="1" applyProtection="1">
      <alignment horizontal="center" vertical="center"/>
      <protection hidden="1"/>
    </xf>
    <xf numFmtId="164" fontId="11" fillId="3" borderId="0" xfId="4" applyNumberFormat="1" applyFont="1" applyFill="1" applyProtection="1">
      <protection hidden="1"/>
    </xf>
    <xf numFmtId="165" fontId="15" fillId="3" borderId="0" xfId="4" applyNumberFormat="1" applyFont="1" applyFill="1" applyAlignment="1" applyProtection="1">
      <alignment horizontal="center"/>
      <protection hidden="1"/>
    </xf>
    <xf numFmtId="171" fontId="13" fillId="3" borderId="0" xfId="4" applyNumberFormat="1" applyFont="1" applyFill="1" applyAlignment="1" applyProtection="1">
      <alignment horizontal="center"/>
      <protection hidden="1"/>
    </xf>
    <xf numFmtId="164" fontId="22" fillId="3" borderId="0" xfId="4" applyNumberFormat="1" applyFont="1" applyFill="1" applyProtection="1">
      <protection hidden="1"/>
    </xf>
    <xf numFmtId="164" fontId="6" fillId="3" borderId="0" xfId="4" applyNumberFormat="1" applyFont="1" applyFill="1" applyAlignment="1" applyProtection="1">
      <alignment horizontal="center" vertical="center"/>
      <protection hidden="1"/>
    </xf>
    <xf numFmtId="164" fontId="6" fillId="3" borderId="0" xfId="4" applyNumberFormat="1" applyFont="1" applyFill="1" applyAlignment="1" applyProtection="1">
      <alignment horizontal="right"/>
      <protection hidden="1"/>
    </xf>
    <xf numFmtId="164" fontId="23" fillId="3" borderId="0" xfId="4" applyNumberFormat="1" applyFont="1" applyFill="1" applyAlignment="1" applyProtection="1">
      <alignment horizontal="center"/>
      <protection hidden="1"/>
    </xf>
    <xf numFmtId="164" fontId="19" fillId="3" borderId="0" xfId="4" applyNumberFormat="1" applyFont="1" applyFill="1" applyProtection="1">
      <protection hidden="1"/>
    </xf>
    <xf numFmtId="164" fontId="6" fillId="3" borderId="0" xfId="4" applyNumberFormat="1" applyFont="1" applyFill="1" applyAlignment="1" applyProtection="1">
      <alignment vertical="center"/>
      <protection hidden="1"/>
    </xf>
    <xf numFmtId="164" fontId="22" fillId="3" borderId="0" xfId="4" applyNumberFormat="1" applyFont="1" applyFill="1" applyAlignment="1" applyProtection="1">
      <alignment vertical="center"/>
      <protection hidden="1"/>
    </xf>
    <xf numFmtId="0" fontId="0" fillId="3" borderId="0" xfId="0" applyFill="1" applyAlignment="1" applyProtection="1">
      <alignment vertical="center"/>
      <protection hidden="1"/>
    </xf>
    <xf numFmtId="0" fontId="24" fillId="3" borderId="0" xfId="0" applyFont="1" applyFill="1" applyAlignment="1" applyProtection="1">
      <alignment vertical="center"/>
      <protection hidden="1"/>
    </xf>
    <xf numFmtId="164" fontId="24" fillId="3" borderId="0" xfId="5" applyNumberFormat="1" applyFont="1" applyFill="1" applyAlignment="1" applyProtection="1">
      <alignment vertical="center"/>
      <protection hidden="1"/>
    </xf>
    <xf numFmtId="164" fontId="25" fillId="3" borderId="0" xfId="5" applyNumberFormat="1" applyFont="1" applyFill="1" applyAlignment="1" applyProtection="1">
      <alignment vertical="center"/>
      <protection hidden="1"/>
    </xf>
    <xf numFmtId="0" fontId="24" fillId="3" borderId="0" xfId="0" applyFont="1" applyFill="1" applyAlignment="1" applyProtection="1">
      <alignment horizontal="center" vertical="center"/>
      <protection hidden="1"/>
    </xf>
    <xf numFmtId="164" fontId="28" fillId="3" borderId="0" xfId="5" applyNumberFormat="1" applyFont="1" applyFill="1" applyAlignment="1" applyProtection="1">
      <alignment vertical="center"/>
      <protection hidden="1"/>
    </xf>
    <xf numFmtId="164" fontId="10" fillId="3" borderId="0" xfId="5" applyNumberFormat="1" applyFont="1" applyFill="1" applyAlignment="1" applyProtection="1">
      <alignment vertical="center"/>
      <protection hidden="1"/>
    </xf>
    <xf numFmtId="0" fontId="10" fillId="3" borderId="0" xfId="0" applyFont="1" applyFill="1" applyAlignment="1" applyProtection="1">
      <alignment vertical="center"/>
      <protection hidden="1"/>
    </xf>
    <xf numFmtId="0" fontId="10" fillId="3" borderId="0" xfId="0" applyFont="1" applyFill="1" applyAlignment="1" applyProtection="1">
      <alignment horizontal="right" vertical="center"/>
      <protection hidden="1"/>
    </xf>
    <xf numFmtId="0" fontId="10" fillId="3" borderId="0" xfId="0" applyFont="1" applyFill="1" applyAlignment="1" applyProtection="1">
      <alignment horizontal="center" vertical="center"/>
      <protection hidden="1"/>
    </xf>
    <xf numFmtId="0" fontId="29" fillId="3" borderId="0" xfId="0" applyFont="1" applyFill="1" applyAlignment="1" applyProtection="1">
      <alignment horizontal="center" vertical="center"/>
      <protection hidden="1"/>
    </xf>
    <xf numFmtId="164" fontId="15" fillId="3" borderId="0" xfId="5" applyNumberFormat="1" applyFont="1" applyFill="1" applyProtection="1">
      <protection hidden="1"/>
    </xf>
    <xf numFmtId="164" fontId="15" fillId="3" borderId="0" xfId="5" applyNumberFormat="1" applyFont="1" applyFill="1" applyAlignment="1" applyProtection="1">
      <alignment horizontal="center"/>
      <protection hidden="1"/>
    </xf>
    <xf numFmtId="164" fontId="15" fillId="3" borderId="0" xfId="5" quotePrefix="1" applyNumberFormat="1" applyFont="1" applyFill="1" applyAlignment="1" applyProtection="1">
      <alignment horizontal="left" vertical="center"/>
      <protection hidden="1"/>
    </xf>
    <xf numFmtId="164" fontId="6" fillId="3" borderId="0" xfId="0" applyNumberFormat="1" applyFont="1" applyFill="1" applyAlignment="1" applyProtection="1">
      <alignment horizontal="right"/>
      <protection hidden="1"/>
    </xf>
    <xf numFmtId="164" fontId="6" fillId="3" borderId="0" xfId="0" applyNumberFormat="1" applyFont="1" applyFill="1" applyAlignment="1" applyProtection="1">
      <alignment horizontal="left"/>
      <protection hidden="1"/>
    </xf>
    <xf numFmtId="169" fontId="30" fillId="3" borderId="0" xfId="4" applyNumberFormat="1" applyFont="1" applyFill="1" applyProtection="1">
      <protection hidden="1"/>
    </xf>
    <xf numFmtId="169" fontId="31" fillId="3" borderId="0" xfId="4" applyNumberFormat="1" applyFont="1" applyFill="1" applyProtection="1">
      <protection hidden="1"/>
    </xf>
    <xf numFmtId="0" fontId="32" fillId="3" borderId="0" xfId="0" applyFont="1" applyFill="1" applyProtection="1">
      <protection hidden="1"/>
    </xf>
    <xf numFmtId="164" fontId="32" fillId="3" borderId="0" xfId="5" applyNumberFormat="1" applyFont="1" applyFill="1" applyAlignment="1" applyProtection="1">
      <alignment horizontal="left" indent="1"/>
      <protection hidden="1"/>
    </xf>
    <xf numFmtId="164" fontId="32" fillId="3" borderId="0" xfId="5" applyNumberFormat="1" applyFont="1" applyFill="1" applyProtection="1">
      <protection hidden="1"/>
    </xf>
    <xf numFmtId="0" fontId="32" fillId="3" borderId="0" xfId="0" applyFont="1" applyFill="1" applyAlignment="1" applyProtection="1">
      <alignment horizontal="center"/>
      <protection hidden="1"/>
    </xf>
    <xf numFmtId="164" fontId="32" fillId="3" borderId="0" xfId="5" applyNumberFormat="1" applyFont="1" applyFill="1" applyAlignment="1" applyProtection="1">
      <alignment horizontal="left"/>
      <protection hidden="1"/>
    </xf>
    <xf numFmtId="164" fontId="32" fillId="3" borderId="0" xfId="5" applyNumberFormat="1" applyFont="1" applyFill="1" applyAlignment="1" applyProtection="1">
      <alignment horizontal="center"/>
      <protection hidden="1"/>
    </xf>
    <xf numFmtId="164" fontId="6" fillId="3" borderId="0" xfId="5" quotePrefix="1" applyNumberFormat="1" applyFont="1" applyFill="1" applyProtection="1">
      <protection hidden="1"/>
    </xf>
    <xf numFmtId="164" fontId="6" fillId="3" borderId="0" xfId="4" applyNumberFormat="1" applyFont="1" applyFill="1" applyAlignment="1" applyProtection="1">
      <alignment horizontal="left" vertical="center" indent="1"/>
      <protection hidden="1"/>
    </xf>
    <xf numFmtId="164" fontId="15" fillId="3" borderId="0" xfId="4" applyNumberFormat="1" applyFont="1" applyFill="1" applyAlignment="1" applyProtection="1">
      <alignment horizontal="left" vertical="center" indent="1"/>
      <protection hidden="1"/>
    </xf>
    <xf numFmtId="164" fontId="15" fillId="5" borderId="3" xfId="5" applyNumberFormat="1" applyFont="1" applyFill="1" applyBorder="1" applyAlignment="1" applyProtection="1">
      <alignment horizontal="left" vertical="center" indent="1"/>
      <protection hidden="1"/>
    </xf>
    <xf numFmtId="164" fontId="15" fillId="5" borderId="4" xfId="5" applyNumberFormat="1" applyFont="1" applyFill="1" applyBorder="1" applyAlignment="1" applyProtection="1">
      <alignment horizontal="left" vertical="center" indent="1"/>
      <protection hidden="1"/>
    </xf>
    <xf numFmtId="164" fontId="15" fillId="5" borderId="4" xfId="5" applyNumberFormat="1" applyFont="1" applyFill="1" applyBorder="1" applyAlignment="1" applyProtection="1">
      <alignment vertical="center"/>
      <protection hidden="1"/>
    </xf>
    <xf numFmtId="164" fontId="11" fillId="5" borderId="5" xfId="5" applyNumberFormat="1" applyFont="1" applyFill="1" applyBorder="1" applyAlignment="1" applyProtection="1">
      <alignment horizontal="center" vertical="center"/>
      <protection hidden="1"/>
    </xf>
    <xf numFmtId="164" fontId="11" fillId="3" borderId="0" xfId="5" applyNumberFormat="1" applyFont="1" applyFill="1" applyAlignment="1" applyProtection="1">
      <alignment horizontal="center" vertical="center"/>
      <protection hidden="1"/>
    </xf>
    <xf numFmtId="164" fontId="15" fillId="3" borderId="0" xfId="5" applyNumberFormat="1" applyFont="1" applyFill="1" applyAlignment="1" applyProtection="1">
      <alignment horizontal="left" vertical="center" indent="1"/>
      <protection hidden="1"/>
    </xf>
    <xf numFmtId="164" fontId="6" fillId="3" borderId="0" xfId="5" quotePrefix="1" applyNumberFormat="1" applyFont="1" applyFill="1" applyAlignment="1" applyProtection="1">
      <alignment horizontal="left" vertical="center" indent="1"/>
      <protection hidden="1"/>
    </xf>
    <xf numFmtId="164" fontId="15" fillId="4" borderId="3" xfId="5" applyNumberFormat="1" applyFont="1" applyFill="1" applyBorder="1" applyAlignment="1" applyProtection="1">
      <alignment horizontal="left" vertical="center" indent="1"/>
      <protection hidden="1"/>
    </xf>
    <xf numFmtId="164" fontId="15" fillId="4" borderId="4" xfId="5" applyNumberFormat="1" applyFont="1" applyFill="1" applyBorder="1" applyAlignment="1" applyProtection="1">
      <alignment horizontal="left" vertical="center" indent="1"/>
      <protection hidden="1"/>
    </xf>
    <xf numFmtId="164" fontId="15" fillId="4" borderId="4" xfId="5" applyNumberFormat="1" applyFont="1" applyFill="1" applyBorder="1" applyAlignment="1" applyProtection="1">
      <alignment vertical="center"/>
      <protection hidden="1"/>
    </xf>
    <xf numFmtId="164" fontId="15" fillId="4" borderId="5" xfId="5" applyNumberFormat="1" applyFont="1" applyFill="1" applyBorder="1" applyAlignment="1" applyProtection="1">
      <alignment vertical="center"/>
      <protection hidden="1"/>
    </xf>
    <xf numFmtId="164" fontId="6" fillId="3" borderId="0" xfId="5" applyNumberFormat="1" applyFont="1" applyFill="1" applyAlignment="1" applyProtection="1">
      <alignment horizontal="left" vertical="center" indent="1"/>
      <protection hidden="1"/>
    </xf>
    <xf numFmtId="164" fontId="15" fillId="5" borderId="6" xfId="5" applyNumberFormat="1" applyFont="1" applyFill="1" applyBorder="1" applyAlignment="1" applyProtection="1">
      <alignment horizontal="left" vertical="center" indent="1"/>
      <protection hidden="1"/>
    </xf>
    <xf numFmtId="164" fontId="15" fillId="5" borderId="0" xfId="5" applyNumberFormat="1" applyFont="1" applyFill="1" applyAlignment="1" applyProtection="1">
      <alignment horizontal="left" vertical="center" indent="1"/>
      <protection hidden="1"/>
    </xf>
    <xf numFmtId="172" fontId="11" fillId="3" borderId="0" xfId="5" applyNumberFormat="1" applyFont="1" applyFill="1" applyAlignment="1" applyProtection="1">
      <alignment horizontal="center" vertical="center"/>
      <protection hidden="1"/>
    </xf>
    <xf numFmtId="164" fontId="15" fillId="4" borderId="6" xfId="5" applyNumberFormat="1" applyFont="1" applyFill="1" applyBorder="1" applyAlignment="1" applyProtection="1">
      <alignment horizontal="left" vertical="center" indent="1"/>
      <protection hidden="1"/>
    </xf>
    <xf numFmtId="164" fontId="15" fillId="4" borderId="0" xfId="5" applyNumberFormat="1" applyFont="1" applyFill="1" applyAlignment="1" applyProtection="1">
      <alignment horizontal="left" vertical="center" indent="1"/>
      <protection hidden="1"/>
    </xf>
    <xf numFmtId="164" fontId="11" fillId="5" borderId="7" xfId="5" applyNumberFormat="1" applyFont="1" applyFill="1" applyBorder="1" applyAlignment="1" applyProtection="1">
      <alignment horizontal="center" vertical="center"/>
      <protection hidden="1"/>
    </xf>
    <xf numFmtId="164" fontId="15" fillId="4" borderId="7" xfId="5" applyNumberFormat="1" applyFont="1" applyFill="1" applyBorder="1" applyAlignment="1" applyProtection="1">
      <alignment horizontal="center" vertical="center"/>
      <protection hidden="1"/>
    </xf>
    <xf numFmtId="164" fontId="13" fillId="3" borderId="0" xfId="5" applyNumberFormat="1" applyFont="1" applyFill="1" applyAlignment="1" applyProtection="1">
      <alignment horizontal="left" vertical="center" indent="1"/>
      <protection hidden="1"/>
    </xf>
    <xf numFmtId="164" fontId="13" fillId="3" borderId="0" xfId="5" applyNumberFormat="1" applyFont="1" applyFill="1" applyAlignment="1" applyProtection="1">
      <alignment horizontal="center"/>
      <protection hidden="1"/>
    </xf>
    <xf numFmtId="164" fontId="6" fillId="3" borderId="0" xfId="0" applyNumberFormat="1" applyFont="1" applyFill="1" applyAlignment="1" applyProtection="1">
      <alignment horizontal="left" vertical="center" indent="1"/>
      <protection hidden="1"/>
    </xf>
    <xf numFmtId="164" fontId="15" fillId="3" borderId="0" xfId="5" quotePrefix="1" applyNumberFormat="1" applyFont="1" applyFill="1" applyAlignment="1" applyProtection="1">
      <alignment horizontal="left" vertical="center" indent="1"/>
      <protection hidden="1"/>
    </xf>
    <xf numFmtId="174" fontId="15" fillId="4" borderId="7" xfId="1" applyNumberFormat="1" applyFont="1" applyFill="1" applyBorder="1" applyAlignment="1" applyProtection="1">
      <alignment horizontal="center" vertical="center"/>
      <protection hidden="1"/>
    </xf>
    <xf numFmtId="166" fontId="11" fillId="5" borderId="7" xfId="1" applyNumberFormat="1" applyFont="1" applyFill="1" applyBorder="1" applyAlignment="1" applyProtection="1">
      <alignment horizontal="center" vertical="center"/>
      <protection hidden="1"/>
    </xf>
    <xf numFmtId="166" fontId="11" fillId="3" borderId="0" xfId="1" applyNumberFormat="1" applyFont="1" applyFill="1" applyBorder="1" applyAlignment="1" applyProtection="1">
      <alignment horizontal="center" vertical="center"/>
      <protection hidden="1"/>
    </xf>
    <xf numFmtId="174" fontId="11" fillId="4" borderId="7" xfId="1" applyNumberFormat="1" applyFont="1" applyFill="1" applyBorder="1" applyAlignment="1" applyProtection="1">
      <alignment horizontal="center" vertical="center"/>
      <protection hidden="1"/>
    </xf>
    <xf numFmtId="164" fontId="15" fillId="5" borderId="8" xfId="5" applyNumberFormat="1" applyFont="1" applyFill="1" applyBorder="1" applyAlignment="1" applyProtection="1">
      <alignment horizontal="left" vertical="center" indent="1"/>
      <protection hidden="1"/>
    </xf>
    <xf numFmtId="164" fontId="15" fillId="5" borderId="9" xfId="5" applyNumberFormat="1" applyFont="1" applyFill="1" applyBorder="1" applyAlignment="1" applyProtection="1">
      <alignment horizontal="left" vertical="center" indent="1"/>
      <protection hidden="1"/>
    </xf>
    <xf numFmtId="164" fontId="11" fillId="5" borderId="10" xfId="5" applyNumberFormat="1" applyFont="1" applyFill="1" applyBorder="1" applyAlignment="1" applyProtection="1">
      <alignment horizontal="center" vertical="center"/>
      <protection hidden="1"/>
    </xf>
    <xf numFmtId="164" fontId="15" fillId="4" borderId="8" xfId="5" applyNumberFormat="1" applyFont="1" applyFill="1" applyBorder="1" applyAlignment="1" applyProtection="1">
      <alignment horizontal="left" vertical="center" indent="1"/>
      <protection hidden="1"/>
    </xf>
    <xf numFmtId="164" fontId="15" fillId="4" borderId="9" xfId="5" applyNumberFormat="1" applyFont="1" applyFill="1" applyBorder="1" applyAlignment="1" applyProtection="1">
      <alignment horizontal="left" vertical="center" indent="1"/>
      <protection hidden="1"/>
    </xf>
    <xf numFmtId="174" fontId="15" fillId="4" borderId="10" xfId="1" applyNumberFormat="1" applyFont="1" applyFill="1" applyBorder="1" applyAlignment="1" applyProtection="1">
      <alignment horizontal="center" vertical="center"/>
      <protection hidden="1"/>
    </xf>
    <xf numFmtId="0" fontId="1" fillId="3" borderId="0" xfId="0" applyFont="1" applyFill="1" applyAlignment="1" applyProtection="1">
      <alignment vertical="center"/>
      <protection hidden="1"/>
    </xf>
    <xf numFmtId="164" fontId="15" fillId="3" borderId="0" xfId="5" applyNumberFormat="1" applyFont="1" applyFill="1" applyAlignment="1" applyProtection="1">
      <alignment vertical="center"/>
      <protection hidden="1"/>
    </xf>
    <xf numFmtId="164" fontId="33" fillId="3" borderId="0" xfId="5" applyNumberFormat="1" applyFont="1" applyFill="1" applyProtection="1">
      <protection hidden="1"/>
    </xf>
    <xf numFmtId="164" fontId="13" fillId="3" borderId="0" xfId="4" applyNumberFormat="1" applyFont="1" applyFill="1" applyProtection="1">
      <protection hidden="1"/>
    </xf>
    <xf numFmtId="164" fontId="32" fillId="3" borderId="0" xfId="5" applyNumberFormat="1" applyFont="1" applyFill="1" applyAlignment="1" applyProtection="1">
      <alignment horizontal="center" vertical="center"/>
      <protection hidden="1"/>
    </xf>
    <xf numFmtId="164" fontId="33" fillId="3" borderId="0" xfId="5" applyNumberFormat="1" applyFont="1" applyFill="1" applyAlignment="1" applyProtection="1">
      <alignment horizontal="center"/>
      <protection hidden="1"/>
    </xf>
    <xf numFmtId="164" fontId="13" fillId="3" borderId="0" xfId="5" applyNumberFormat="1" applyFont="1" applyFill="1" applyProtection="1">
      <protection hidden="1"/>
    </xf>
    <xf numFmtId="164" fontId="15" fillId="3" borderId="0" xfId="5" applyNumberFormat="1" applyFont="1" applyFill="1" applyAlignment="1" applyProtection="1">
      <alignment horizontal="left"/>
      <protection hidden="1"/>
    </xf>
    <xf numFmtId="0" fontId="15" fillId="5" borderId="3" xfId="0" applyFont="1" applyFill="1" applyBorder="1" applyProtection="1">
      <protection hidden="1"/>
    </xf>
    <xf numFmtId="164" fontId="15" fillId="5" borderId="4" xfId="5" applyNumberFormat="1" applyFont="1" applyFill="1" applyBorder="1" applyProtection="1">
      <protection hidden="1"/>
    </xf>
    <xf numFmtId="164" fontId="15" fillId="5" borderId="4" xfId="5" applyNumberFormat="1" applyFont="1" applyFill="1" applyBorder="1" applyAlignment="1" applyProtection="1">
      <alignment horizontal="center" vertical="center"/>
      <protection hidden="1"/>
    </xf>
    <xf numFmtId="164" fontId="15" fillId="4" borderId="3" xfId="5" applyNumberFormat="1" applyFont="1" applyFill="1" applyBorder="1" applyProtection="1">
      <protection hidden="1"/>
    </xf>
    <xf numFmtId="164" fontId="15" fillId="4" borderId="4" xfId="5" applyNumberFormat="1" applyFont="1" applyFill="1" applyBorder="1" applyProtection="1">
      <protection hidden="1"/>
    </xf>
    <xf numFmtId="164" fontId="15" fillId="4" borderId="4" xfId="5" applyNumberFormat="1" applyFont="1" applyFill="1" applyBorder="1" applyAlignment="1" applyProtection="1">
      <alignment horizontal="center"/>
      <protection hidden="1"/>
    </xf>
    <xf numFmtId="164" fontId="15" fillId="4" borderId="5" xfId="5" applyNumberFormat="1" applyFont="1" applyFill="1" applyBorder="1" applyProtection="1">
      <protection hidden="1"/>
    </xf>
    <xf numFmtId="164" fontId="15" fillId="3" borderId="0" xfId="5" applyNumberFormat="1" applyFont="1" applyFill="1" applyAlignment="1" applyProtection="1">
      <alignment horizontal="left" vertical="center"/>
      <protection hidden="1"/>
    </xf>
    <xf numFmtId="166" fontId="6" fillId="3" borderId="0" xfId="1" applyNumberFormat="1" applyFont="1" applyFill="1" applyProtection="1">
      <protection hidden="1"/>
    </xf>
    <xf numFmtId="172" fontId="15" fillId="5" borderId="0" xfId="0" applyNumberFormat="1" applyFont="1" applyFill="1" applyAlignment="1" applyProtection="1">
      <alignment horizontal="center" vertical="center"/>
      <protection hidden="1"/>
    </xf>
    <xf numFmtId="164" fontId="15" fillId="4" borderId="6" xfId="5" applyNumberFormat="1" applyFont="1" applyFill="1" applyBorder="1" applyProtection="1">
      <protection hidden="1"/>
    </xf>
    <xf numFmtId="164" fontId="15" fillId="4" borderId="0" xfId="5" applyNumberFormat="1" applyFont="1" applyFill="1" applyAlignment="1" applyProtection="1">
      <alignment horizontal="center"/>
      <protection hidden="1"/>
    </xf>
    <xf numFmtId="164" fontId="15" fillId="5" borderId="0" xfId="5" applyNumberFormat="1" applyFont="1" applyFill="1" applyProtection="1">
      <protection hidden="1"/>
    </xf>
    <xf numFmtId="0" fontId="15" fillId="5" borderId="0" xfId="0" applyFont="1" applyFill="1" applyProtection="1">
      <protection hidden="1"/>
    </xf>
    <xf numFmtId="0" fontId="15" fillId="5" borderId="7" xfId="0" applyFont="1" applyFill="1" applyBorder="1" applyProtection="1">
      <protection hidden="1"/>
    </xf>
    <xf numFmtId="164" fontId="8" fillId="3" borderId="0" xfId="0" applyNumberFormat="1" applyFont="1" applyFill="1" applyProtection="1">
      <protection hidden="1"/>
    </xf>
    <xf numFmtId="0" fontId="15" fillId="5" borderId="6" xfId="0" applyFont="1" applyFill="1" applyBorder="1" applyAlignment="1" applyProtection="1">
      <alignment horizontal="left" vertical="center" indent="1"/>
      <protection hidden="1"/>
    </xf>
    <xf numFmtId="164" fontId="15" fillId="5" borderId="0" xfId="5" applyNumberFormat="1" applyFont="1" applyFill="1" applyAlignment="1" applyProtection="1">
      <alignment horizontal="center" vertical="center"/>
      <protection hidden="1"/>
    </xf>
    <xf numFmtId="172" fontId="11" fillId="5" borderId="0" xfId="5" applyNumberFormat="1" applyFont="1" applyFill="1" applyAlignment="1" applyProtection="1">
      <alignment horizontal="center" vertical="center"/>
      <protection hidden="1"/>
    </xf>
    <xf numFmtId="164" fontId="15" fillId="4" borderId="0" xfId="5" applyNumberFormat="1" applyFont="1" applyFill="1" applyAlignment="1" applyProtection="1">
      <alignment horizontal="center" vertical="center"/>
      <protection hidden="1"/>
    </xf>
    <xf numFmtId="164" fontId="15" fillId="4" borderId="0" xfId="5" applyNumberFormat="1" applyFont="1" applyFill="1" applyProtection="1">
      <protection hidden="1"/>
    </xf>
    <xf numFmtId="164" fontId="15" fillId="4" borderId="0" xfId="5" applyNumberFormat="1" applyFont="1" applyFill="1" applyAlignment="1" applyProtection="1">
      <alignment horizontal="left" indent="1"/>
      <protection hidden="1"/>
    </xf>
    <xf numFmtId="164" fontId="15" fillId="4" borderId="7" xfId="5" applyNumberFormat="1" applyFont="1" applyFill="1" applyBorder="1" applyAlignment="1" applyProtection="1">
      <alignment horizontal="left" indent="1"/>
      <protection hidden="1"/>
    </xf>
    <xf numFmtId="164" fontId="15" fillId="3" borderId="0" xfId="5" applyNumberFormat="1" applyFont="1" applyFill="1" applyAlignment="1" applyProtection="1">
      <alignment vertical="top"/>
      <protection hidden="1"/>
    </xf>
    <xf numFmtId="164" fontId="15" fillId="3" borderId="0" xfId="5" applyNumberFormat="1" applyFont="1" applyFill="1" applyAlignment="1" applyProtection="1">
      <alignment horizontal="left" indent="1"/>
      <protection hidden="1"/>
    </xf>
    <xf numFmtId="164" fontId="15" fillId="4" borderId="0" xfId="5" applyNumberFormat="1" applyFont="1" applyFill="1" applyAlignment="1" applyProtection="1">
      <alignment vertical="center"/>
      <protection hidden="1"/>
    </xf>
    <xf numFmtId="176" fontId="15" fillId="3" borderId="0" xfId="5" applyNumberFormat="1" applyFont="1" applyFill="1" applyAlignment="1" applyProtection="1">
      <alignment vertical="center"/>
      <protection hidden="1"/>
    </xf>
    <xf numFmtId="164" fontId="15" fillId="4" borderId="0" xfId="4" applyNumberFormat="1" applyFont="1" applyFill="1" applyAlignment="1" applyProtection="1">
      <alignment vertical="center"/>
      <protection hidden="1"/>
    </xf>
    <xf numFmtId="177" fontId="15" fillId="3" borderId="0" xfId="5" applyNumberFormat="1" applyFont="1" applyFill="1" applyAlignment="1" applyProtection="1">
      <alignment horizontal="left"/>
      <protection hidden="1"/>
    </xf>
    <xf numFmtId="172" fontId="15" fillId="5" borderId="0" xfId="5" applyNumberFormat="1" applyFont="1" applyFill="1" applyAlignment="1" applyProtection="1">
      <alignment horizontal="center" vertical="center"/>
      <protection hidden="1"/>
    </xf>
    <xf numFmtId="164" fontId="15" fillId="5" borderId="2" xfId="5" applyNumberFormat="1" applyFont="1" applyFill="1" applyBorder="1" applyAlignment="1" applyProtection="1">
      <alignment horizontal="center" vertical="center"/>
      <protection hidden="1"/>
    </xf>
    <xf numFmtId="164" fontId="15" fillId="4" borderId="7" xfId="5" applyNumberFormat="1" applyFont="1" applyFill="1" applyBorder="1" applyProtection="1">
      <protection hidden="1"/>
    </xf>
    <xf numFmtId="164" fontId="6" fillId="3" borderId="0" xfId="0" applyNumberFormat="1" applyFont="1" applyFill="1" applyAlignment="1" applyProtection="1">
      <alignment vertical="center"/>
      <protection hidden="1"/>
    </xf>
    <xf numFmtId="164" fontId="15" fillId="5" borderId="0" xfId="5" applyNumberFormat="1" applyFont="1" applyFill="1" applyAlignment="1" applyProtection="1">
      <alignment vertical="center"/>
      <protection hidden="1"/>
    </xf>
    <xf numFmtId="0" fontId="15" fillId="5" borderId="7" xfId="0" applyFont="1" applyFill="1" applyBorder="1" applyAlignment="1" applyProtection="1">
      <alignment vertical="center"/>
      <protection hidden="1"/>
    </xf>
    <xf numFmtId="164" fontId="32" fillId="3" borderId="0" xfId="5" applyNumberFormat="1" applyFont="1" applyFill="1" applyAlignment="1" applyProtection="1">
      <alignment vertical="center"/>
      <protection hidden="1"/>
    </xf>
    <xf numFmtId="164" fontId="15" fillId="4" borderId="6" xfId="5" applyNumberFormat="1" applyFont="1" applyFill="1" applyBorder="1" applyAlignment="1" applyProtection="1">
      <alignment vertical="center"/>
      <protection hidden="1"/>
    </xf>
    <xf numFmtId="164" fontId="15" fillId="4" borderId="7" xfId="5" applyNumberFormat="1" applyFont="1" applyFill="1" applyBorder="1" applyAlignment="1" applyProtection="1">
      <alignment vertical="center"/>
      <protection hidden="1"/>
    </xf>
    <xf numFmtId="164" fontId="6" fillId="3" borderId="0" xfId="0" applyNumberFormat="1" applyFont="1" applyFill="1" applyAlignment="1" applyProtection="1">
      <alignment horizontal="right" vertical="center"/>
      <protection hidden="1"/>
    </xf>
    <xf numFmtId="164" fontId="6" fillId="3" borderId="0" xfId="0" applyNumberFormat="1" applyFont="1" applyFill="1" applyAlignment="1" applyProtection="1">
      <alignment horizontal="left" vertical="center"/>
      <protection hidden="1"/>
    </xf>
    <xf numFmtId="164" fontId="6" fillId="3" borderId="0" xfId="0" applyNumberFormat="1" applyFont="1" applyFill="1" applyAlignment="1" applyProtection="1">
      <alignment horizontal="center" vertical="center"/>
      <protection hidden="1"/>
    </xf>
    <xf numFmtId="164" fontId="15" fillId="3" borderId="0" xfId="0" applyNumberFormat="1" applyFont="1" applyFill="1" applyAlignment="1" applyProtection="1">
      <alignment horizontal="center" vertical="center"/>
      <protection hidden="1"/>
    </xf>
    <xf numFmtId="0" fontId="15" fillId="5" borderId="8" xfId="0" applyFont="1" applyFill="1" applyBorder="1" applyProtection="1">
      <protection hidden="1"/>
    </xf>
    <xf numFmtId="172" fontId="15" fillId="5" borderId="9" xfId="5" applyNumberFormat="1" applyFont="1" applyFill="1" applyBorder="1" applyAlignment="1" applyProtection="1">
      <alignment horizontal="left" vertical="center" indent="1"/>
      <protection hidden="1"/>
    </xf>
    <xf numFmtId="164" fontId="15" fillId="5" borderId="9" xfId="5" applyNumberFormat="1" applyFont="1" applyFill="1" applyBorder="1" applyProtection="1">
      <protection hidden="1"/>
    </xf>
    <xf numFmtId="0" fontId="15" fillId="5" borderId="9" xfId="0" applyFont="1" applyFill="1" applyBorder="1" applyProtection="1">
      <protection hidden="1"/>
    </xf>
    <xf numFmtId="0" fontId="15" fillId="5" borderId="10" xfId="0" applyFont="1" applyFill="1" applyBorder="1" applyProtection="1">
      <protection hidden="1"/>
    </xf>
    <xf numFmtId="164" fontId="15" fillId="4" borderId="8" xfId="5" applyNumberFormat="1" applyFont="1" applyFill="1" applyBorder="1" applyProtection="1">
      <protection hidden="1"/>
    </xf>
    <xf numFmtId="164" fontId="15" fillId="4" borderId="9" xfId="5" applyNumberFormat="1" applyFont="1" applyFill="1" applyBorder="1" applyProtection="1">
      <protection hidden="1"/>
    </xf>
    <xf numFmtId="164" fontId="15" fillId="4" borderId="9" xfId="5" applyNumberFormat="1" applyFont="1" applyFill="1" applyBorder="1" applyAlignment="1" applyProtection="1">
      <alignment horizontal="center"/>
      <protection hidden="1"/>
    </xf>
    <xf numFmtId="164" fontId="15" fillId="4" borderId="10" xfId="5" applyNumberFormat="1" applyFont="1" applyFill="1" applyBorder="1" applyProtection="1">
      <protection hidden="1"/>
    </xf>
    <xf numFmtId="165" fontId="13" fillId="3" borderId="0" xfId="4" applyNumberFormat="1" applyFont="1" applyFill="1" applyProtection="1">
      <protection hidden="1"/>
    </xf>
    <xf numFmtId="167" fontId="11" fillId="3" borderId="0" xfId="4" applyNumberFormat="1" applyFont="1" applyFill="1" applyAlignment="1" applyProtection="1">
      <alignment horizontal="center"/>
      <protection hidden="1"/>
    </xf>
    <xf numFmtId="165" fontId="11" fillId="5" borderId="0" xfId="4" applyNumberFormat="1" applyFont="1" applyFill="1" applyAlignment="1" applyProtection="1">
      <alignment horizontal="center"/>
      <protection hidden="1"/>
    </xf>
    <xf numFmtId="164" fontId="29" fillId="3" borderId="0" xfId="0" applyNumberFormat="1" applyFont="1" applyFill="1" applyAlignment="1" applyProtection="1">
      <alignment horizontal="center"/>
      <protection hidden="1"/>
    </xf>
    <xf numFmtId="164" fontId="29" fillId="3" borderId="0" xfId="4" applyNumberFormat="1" applyFont="1" applyFill="1" applyProtection="1">
      <protection hidden="1"/>
    </xf>
    <xf numFmtId="164" fontId="15" fillId="5" borderId="0" xfId="0" applyNumberFormat="1" applyFont="1" applyFill="1" applyAlignment="1" applyProtection="1">
      <alignment horizontal="left" indent="1"/>
      <protection hidden="1"/>
    </xf>
    <xf numFmtId="164" fontId="15" fillId="3" borderId="0" xfId="6" applyNumberFormat="1" applyFont="1" applyFill="1" applyBorder="1" applyAlignment="1" applyProtection="1">
      <protection hidden="1"/>
    </xf>
    <xf numFmtId="164" fontId="15" fillId="5" borderId="12" xfId="4" applyNumberFormat="1" applyFont="1" applyFill="1" applyBorder="1" applyAlignment="1" applyProtection="1">
      <alignment horizontal="left" indent="1"/>
      <protection hidden="1"/>
    </xf>
    <xf numFmtId="164" fontId="15" fillId="3" borderId="9" xfId="4" applyNumberFormat="1" applyFont="1" applyFill="1" applyBorder="1" applyProtection="1">
      <protection hidden="1"/>
    </xf>
    <xf numFmtId="164" fontId="15" fillId="3" borderId="12" xfId="4" applyNumberFormat="1" applyFont="1" applyFill="1" applyBorder="1" applyProtection="1">
      <protection hidden="1"/>
    </xf>
    <xf numFmtId="164" fontId="15" fillId="3" borderId="0" xfId="4" applyNumberFormat="1" applyFont="1" applyFill="1" applyAlignment="1" applyProtection="1">
      <alignment horizontal="left" indent="1"/>
      <protection hidden="1"/>
    </xf>
    <xf numFmtId="0" fontId="15" fillId="3" borderId="0" xfId="0" quotePrefix="1" applyFont="1" applyFill="1" applyAlignment="1" applyProtection="1">
      <alignment horizontal="left" indent="1"/>
      <protection hidden="1"/>
    </xf>
    <xf numFmtId="164" fontId="15" fillId="3" borderId="0" xfId="4" quotePrefix="1" applyNumberFormat="1" applyFont="1" applyFill="1" applyAlignment="1" applyProtection="1">
      <alignment horizontal="left" indent="1"/>
      <protection hidden="1"/>
    </xf>
    <xf numFmtId="0" fontId="15" fillId="5" borderId="0" xfId="0" applyFont="1" applyFill="1" applyAlignment="1" applyProtection="1">
      <alignment horizontal="left" indent="1"/>
      <protection hidden="1"/>
    </xf>
    <xf numFmtId="164" fontId="15" fillId="5" borderId="0" xfId="4" applyNumberFormat="1" applyFont="1" applyFill="1" applyAlignment="1" applyProtection="1">
      <alignment horizontal="left" indent="1"/>
      <protection hidden="1"/>
    </xf>
    <xf numFmtId="164" fontId="34" fillId="5" borderId="0" xfId="4" applyNumberFormat="1" applyFont="1" applyFill="1" applyAlignment="1" applyProtection="1">
      <alignment horizontal="left" indent="1"/>
      <protection hidden="1"/>
    </xf>
    <xf numFmtId="164" fontId="34" fillId="5" borderId="0" xfId="0" applyNumberFormat="1" applyFont="1" applyFill="1" applyProtection="1">
      <protection hidden="1"/>
    </xf>
    <xf numFmtId="164" fontId="34" fillId="3" borderId="0" xfId="4" applyNumberFormat="1" applyFont="1" applyFill="1" applyProtection="1">
      <protection hidden="1"/>
    </xf>
    <xf numFmtId="164" fontId="34" fillId="3" borderId="0" xfId="0" applyNumberFormat="1" applyFont="1" applyFill="1" applyProtection="1">
      <protection hidden="1"/>
    </xf>
    <xf numFmtId="164" fontId="34" fillId="3" borderId="0" xfId="6" applyNumberFormat="1" applyFont="1" applyFill="1" applyBorder="1" applyAlignment="1" applyProtection="1">
      <protection hidden="1"/>
    </xf>
    <xf numFmtId="164" fontId="15" fillId="5" borderId="9" xfId="4" applyNumberFormat="1" applyFont="1" applyFill="1" applyBorder="1" applyAlignment="1" applyProtection="1">
      <alignment horizontal="left" indent="1"/>
      <protection hidden="1"/>
    </xf>
    <xf numFmtId="164" fontId="15" fillId="3" borderId="9" xfId="4" applyNumberFormat="1" applyFont="1" applyFill="1" applyBorder="1" applyAlignment="1" applyProtection="1">
      <alignment horizontal="left" indent="1"/>
      <protection hidden="1"/>
    </xf>
    <xf numFmtId="164" fontId="15" fillId="3" borderId="9" xfId="0" applyNumberFormat="1" applyFont="1" applyFill="1" applyBorder="1" applyProtection="1">
      <protection hidden="1"/>
    </xf>
    <xf numFmtId="164" fontId="15" fillId="5" borderId="9" xfId="0" applyNumberFormat="1" applyFont="1" applyFill="1" applyBorder="1" applyProtection="1">
      <protection hidden="1"/>
    </xf>
    <xf numFmtId="164" fontId="15" fillId="3" borderId="13" xfId="4" quotePrefix="1" applyNumberFormat="1" applyFont="1" applyFill="1" applyBorder="1" applyAlignment="1" applyProtection="1">
      <alignment horizontal="left" indent="1"/>
      <protection hidden="1"/>
    </xf>
    <xf numFmtId="0" fontId="29" fillId="3" borderId="0" xfId="0" applyFont="1" applyFill="1" applyAlignment="1" applyProtection="1">
      <alignment horizontal="left"/>
      <protection hidden="1"/>
    </xf>
    <xf numFmtId="164" fontId="29" fillId="3" borderId="0" xfId="0" applyNumberFormat="1" applyFont="1" applyFill="1" applyProtection="1">
      <protection hidden="1"/>
    </xf>
    <xf numFmtId="164" fontId="29" fillId="3" borderId="14" xfId="0" applyNumberFormat="1" applyFont="1" applyFill="1" applyBorder="1" applyProtection="1">
      <protection hidden="1"/>
    </xf>
    <xf numFmtId="164" fontId="29" fillId="3" borderId="0" xfId="4" applyNumberFormat="1" applyFont="1" applyFill="1" applyAlignment="1" applyProtection="1">
      <alignment horizontal="center"/>
      <protection hidden="1"/>
    </xf>
    <xf numFmtId="164" fontId="27" fillId="3" borderId="0" xfId="4" applyNumberFormat="1" applyFont="1" applyFill="1" applyAlignment="1" applyProtection="1">
      <alignment vertical="top"/>
      <protection hidden="1"/>
    </xf>
    <xf numFmtId="164" fontId="6" fillId="3" borderId="0" xfId="4" applyNumberFormat="1" applyFont="1" applyFill="1" applyAlignment="1" applyProtection="1">
      <alignment horizontal="left"/>
      <protection hidden="1"/>
    </xf>
    <xf numFmtId="164" fontId="15" fillId="5" borderId="0" xfId="4" applyNumberFormat="1" applyFont="1" applyFill="1" applyAlignment="1" applyProtection="1">
      <alignment horizontal="center"/>
      <protection hidden="1"/>
    </xf>
    <xf numFmtId="166" fontId="15" fillId="5" borderId="0" xfId="1" applyNumberFormat="1" applyFont="1" applyFill="1" applyBorder="1" applyProtection="1">
      <protection hidden="1"/>
    </xf>
    <xf numFmtId="164" fontId="15" fillId="5" borderId="2" xfId="4" applyNumberFormat="1" applyFont="1" applyFill="1" applyBorder="1" applyAlignment="1" applyProtection="1">
      <alignment horizontal="left" indent="1"/>
      <protection hidden="1"/>
    </xf>
    <xf numFmtId="164" fontId="15" fillId="5" borderId="2" xfId="4" applyNumberFormat="1" applyFont="1" applyFill="1" applyBorder="1" applyAlignment="1" applyProtection="1">
      <alignment horizontal="center"/>
      <protection hidden="1"/>
    </xf>
    <xf numFmtId="0" fontId="15" fillId="5" borderId="2" xfId="0" quotePrefix="1" applyFont="1" applyFill="1" applyBorder="1" applyAlignment="1" applyProtection="1">
      <alignment horizontal="left" indent="1"/>
      <protection hidden="1"/>
    </xf>
    <xf numFmtId="164" fontId="15" fillId="5" borderId="0" xfId="4" applyNumberFormat="1" applyFont="1" applyFill="1" applyAlignment="1" applyProtection="1">
      <alignment horizontal="left"/>
      <protection hidden="1"/>
    </xf>
    <xf numFmtId="164" fontId="15" fillId="5" borderId="2" xfId="4" applyNumberFormat="1" applyFont="1" applyFill="1" applyBorder="1" applyAlignment="1" applyProtection="1">
      <alignment horizontal="left"/>
      <protection hidden="1"/>
    </xf>
    <xf numFmtId="164" fontId="15" fillId="5" borderId="2" xfId="4" applyNumberFormat="1" applyFont="1" applyFill="1" applyBorder="1" applyProtection="1">
      <protection hidden="1"/>
    </xf>
    <xf numFmtId="164" fontId="17" fillId="3" borderId="0" xfId="4" applyNumberFormat="1" applyFont="1" applyFill="1" applyAlignment="1" applyProtection="1">
      <alignment horizontal="center"/>
      <protection hidden="1"/>
    </xf>
    <xf numFmtId="164" fontId="35" fillId="5" borderId="0" xfId="0" applyNumberFormat="1" applyFont="1" applyFill="1" applyProtection="1">
      <protection hidden="1"/>
    </xf>
    <xf numFmtId="164" fontId="35" fillId="3" borderId="0" xfId="0" applyNumberFormat="1" applyFont="1" applyFill="1" applyProtection="1">
      <protection hidden="1"/>
    </xf>
    <xf numFmtId="164" fontId="35" fillId="3" borderId="0" xfId="6" applyNumberFormat="1" applyFont="1" applyFill="1" applyBorder="1" applyAlignment="1" applyProtection="1">
      <protection hidden="1"/>
    </xf>
    <xf numFmtId="164" fontId="8" fillId="3" borderId="0" xfId="4" applyNumberFormat="1" applyFont="1" applyFill="1" applyAlignment="1" applyProtection="1">
      <alignment horizontal="left"/>
      <protection hidden="1"/>
    </xf>
    <xf numFmtId="164" fontId="35" fillId="5" borderId="12" xfId="0" applyNumberFormat="1" applyFont="1" applyFill="1" applyBorder="1" applyProtection="1">
      <protection hidden="1"/>
    </xf>
    <xf numFmtId="164" fontId="35" fillId="3" borderId="12" xfId="4" applyNumberFormat="1" applyFont="1" applyFill="1" applyBorder="1" applyProtection="1">
      <protection hidden="1"/>
    </xf>
    <xf numFmtId="164" fontId="36" fillId="3" borderId="0" xfId="0" applyNumberFormat="1" applyFont="1" applyFill="1" applyProtection="1">
      <protection hidden="1"/>
    </xf>
    <xf numFmtId="164" fontId="15" fillId="3" borderId="2" xfId="0" applyNumberFormat="1" applyFont="1" applyFill="1" applyBorder="1" applyProtection="1">
      <protection hidden="1"/>
    </xf>
    <xf numFmtId="164" fontId="36" fillId="3" borderId="15" xfId="0" applyNumberFormat="1" applyFont="1" applyFill="1" applyBorder="1" applyProtection="1">
      <protection hidden="1"/>
    </xf>
    <xf numFmtId="164" fontId="35" fillId="3" borderId="15" xfId="0" applyNumberFormat="1" applyFont="1" applyFill="1" applyBorder="1" applyProtection="1">
      <protection hidden="1"/>
    </xf>
    <xf numFmtId="164" fontId="15" fillId="3" borderId="0" xfId="4" applyNumberFormat="1" applyFont="1" applyFill="1" applyAlignment="1" applyProtection="1">
      <alignment horizontal="left"/>
      <protection hidden="1"/>
    </xf>
    <xf numFmtId="164" fontId="36" fillId="3" borderId="0" xfId="4" applyNumberFormat="1" applyFont="1" applyFill="1" applyProtection="1">
      <protection hidden="1"/>
    </xf>
    <xf numFmtId="164" fontId="35" fillId="3" borderId="0" xfId="4" applyNumberFormat="1" applyFont="1" applyFill="1" applyProtection="1">
      <protection hidden="1"/>
    </xf>
    <xf numFmtId="164" fontId="36" fillId="3" borderId="12" xfId="0" applyNumberFormat="1" applyFont="1" applyFill="1" applyBorder="1" applyProtection="1">
      <protection hidden="1"/>
    </xf>
    <xf numFmtId="164" fontId="36" fillId="3" borderId="2" xfId="4" applyNumberFormat="1" applyFont="1" applyFill="1" applyBorder="1" applyProtection="1">
      <protection hidden="1"/>
    </xf>
    <xf numFmtId="164" fontId="35" fillId="3" borderId="2" xfId="4" applyNumberFormat="1" applyFont="1" applyFill="1" applyBorder="1" applyProtection="1">
      <protection hidden="1"/>
    </xf>
    <xf numFmtId="166" fontId="6" fillId="3" borderId="0" xfId="1" applyNumberFormat="1" applyFont="1" applyFill="1" applyBorder="1" applyAlignment="1" applyProtection="1">
      <alignment horizontal="left"/>
      <protection hidden="1"/>
    </xf>
    <xf numFmtId="164" fontId="15" fillId="3" borderId="15" xfId="4" applyNumberFormat="1" applyFont="1" applyFill="1" applyBorder="1" applyProtection="1">
      <protection hidden="1"/>
    </xf>
    <xf numFmtId="164" fontId="36" fillId="3" borderId="15" xfId="4" applyNumberFormat="1" applyFont="1" applyFill="1" applyBorder="1" applyProtection="1">
      <protection hidden="1"/>
    </xf>
    <xf numFmtId="164" fontId="15" fillId="3" borderId="11" xfId="4" applyNumberFormat="1" applyFont="1" applyFill="1" applyBorder="1" applyAlignment="1" applyProtection="1">
      <alignment horizontal="left"/>
      <protection hidden="1"/>
    </xf>
    <xf numFmtId="164" fontId="36" fillId="3" borderId="11" xfId="4" applyNumberFormat="1" applyFont="1" applyFill="1" applyBorder="1" applyProtection="1">
      <protection hidden="1"/>
    </xf>
    <xf numFmtId="164" fontId="35" fillId="3" borderId="11" xfId="0" applyNumberFormat="1" applyFont="1" applyFill="1" applyBorder="1" applyProtection="1">
      <protection hidden="1"/>
    </xf>
    <xf numFmtId="169" fontId="30" fillId="3" borderId="0" xfId="4" applyNumberFormat="1" applyFont="1" applyFill="1" applyAlignment="1" applyProtection="1">
      <alignment horizontal="left"/>
      <protection hidden="1"/>
    </xf>
    <xf numFmtId="164" fontId="35" fillId="5" borderId="2" xfId="0" applyNumberFormat="1" applyFont="1" applyFill="1" applyBorder="1" applyProtection="1">
      <protection hidden="1"/>
    </xf>
    <xf numFmtId="164" fontId="37" fillId="3" borderId="0" xfId="4" applyNumberFormat="1" applyFont="1" applyFill="1" applyAlignment="1" applyProtection="1">
      <alignment horizontal="right"/>
      <protection hidden="1"/>
    </xf>
    <xf numFmtId="164" fontId="38" fillId="3" borderId="0" xfId="4" applyNumberFormat="1" applyFont="1" applyFill="1" applyAlignment="1" applyProtection="1">
      <alignment horizontal="right"/>
      <protection hidden="1"/>
    </xf>
    <xf numFmtId="164" fontId="39" fillId="3" borderId="0" xfId="4" applyNumberFormat="1" applyFont="1" applyFill="1" applyAlignment="1" applyProtection="1">
      <alignment horizontal="right" vertical="top"/>
      <protection hidden="1"/>
    </xf>
    <xf numFmtId="164" fontId="38" fillId="3" borderId="0" xfId="0" applyNumberFormat="1" applyFont="1" applyFill="1" applyAlignment="1" applyProtection="1">
      <alignment horizontal="right"/>
      <protection hidden="1"/>
    </xf>
    <xf numFmtId="164" fontId="13" fillId="3" borderId="0" xfId="4" applyNumberFormat="1" applyFont="1" applyFill="1" applyAlignment="1" applyProtection="1">
      <alignment horizontal="center"/>
      <protection hidden="1"/>
    </xf>
    <xf numFmtId="164" fontId="15" fillId="5" borderId="0" xfId="4" applyNumberFormat="1" applyFont="1" applyFill="1" applyAlignment="1" applyProtection="1">
      <alignment horizontal="left" indent="2"/>
      <protection hidden="1"/>
    </xf>
    <xf numFmtId="164" fontId="15" fillId="3" borderId="2" xfId="0" applyNumberFormat="1" applyFont="1" applyFill="1" applyBorder="1" applyAlignment="1" applyProtection="1">
      <alignment horizontal="left" indent="1"/>
      <protection hidden="1"/>
    </xf>
    <xf numFmtId="164" fontId="29" fillId="3" borderId="0" xfId="4" applyNumberFormat="1" applyFont="1" applyFill="1" applyAlignment="1" applyProtection="1">
      <alignment vertical="top"/>
      <protection hidden="1"/>
    </xf>
    <xf numFmtId="164" fontId="15" fillId="3" borderId="2" xfId="4" applyNumberFormat="1" applyFont="1" applyFill="1" applyBorder="1" applyAlignment="1" applyProtection="1">
      <alignment horizontal="left" indent="1"/>
      <protection hidden="1"/>
    </xf>
    <xf numFmtId="164" fontId="35" fillId="3" borderId="2" xfId="0" applyNumberFormat="1" applyFont="1" applyFill="1" applyBorder="1" applyProtection="1">
      <protection hidden="1"/>
    </xf>
    <xf numFmtId="164" fontId="35" fillId="3" borderId="2" xfId="6" applyNumberFormat="1" applyFont="1" applyFill="1" applyBorder="1" applyAlignment="1" applyProtection="1">
      <protection hidden="1"/>
    </xf>
    <xf numFmtId="164" fontId="15" fillId="5" borderId="2" xfId="0" applyNumberFormat="1" applyFont="1" applyFill="1" applyBorder="1" applyAlignment="1" applyProtection="1">
      <alignment horizontal="left" indent="1"/>
      <protection hidden="1"/>
    </xf>
    <xf numFmtId="164" fontId="35" fillId="5" borderId="2" xfId="4" applyNumberFormat="1" applyFont="1" applyFill="1" applyBorder="1" applyProtection="1">
      <protection hidden="1"/>
    </xf>
    <xf numFmtId="164" fontId="35" fillId="3" borderId="0" xfId="4" applyNumberFormat="1" applyFont="1" applyFill="1" applyAlignment="1" applyProtection="1">
      <alignment horizontal="center"/>
      <protection hidden="1"/>
    </xf>
    <xf numFmtId="164" fontId="40" fillId="3" borderId="0" xfId="0" applyNumberFormat="1" applyFont="1" applyFill="1" applyAlignment="1" applyProtection="1">
      <alignment horizontal="center"/>
      <protection hidden="1"/>
    </xf>
    <xf numFmtId="9" fontId="36" fillId="3" borderId="0" xfId="1" applyFont="1" applyFill="1" applyProtection="1">
      <protection hidden="1"/>
    </xf>
    <xf numFmtId="9" fontId="35" fillId="3" borderId="0" xfId="1" applyFont="1" applyFill="1" applyAlignment="1" applyProtection="1">
      <alignment horizontal="center"/>
      <protection hidden="1"/>
    </xf>
    <xf numFmtId="9" fontId="35" fillId="3" borderId="0" xfId="1" applyFont="1" applyFill="1" applyProtection="1">
      <protection hidden="1"/>
    </xf>
    <xf numFmtId="164" fontId="40" fillId="3" borderId="0" xfId="4" applyNumberFormat="1" applyFont="1" applyFill="1" applyAlignment="1" applyProtection="1">
      <alignment horizontal="center"/>
      <protection hidden="1"/>
    </xf>
    <xf numFmtId="164" fontId="41" fillId="3" borderId="0" xfId="4" applyNumberFormat="1" applyFont="1" applyFill="1" applyProtection="1">
      <protection hidden="1"/>
    </xf>
    <xf numFmtId="164" fontId="42" fillId="3" borderId="0" xfId="4" applyNumberFormat="1" applyFont="1" applyFill="1" applyAlignment="1" applyProtection="1">
      <alignment horizontal="center"/>
      <protection hidden="1"/>
    </xf>
    <xf numFmtId="166" fontId="6" fillId="3" borderId="0" xfId="1" applyNumberFormat="1" applyFont="1" applyFill="1" applyBorder="1" applyProtection="1">
      <protection hidden="1"/>
    </xf>
    <xf numFmtId="166" fontId="15" fillId="3" borderId="0" xfId="1" applyNumberFormat="1" applyFont="1" applyFill="1" applyAlignment="1" applyProtection="1">
      <alignment horizontal="left" indent="1"/>
      <protection hidden="1"/>
    </xf>
    <xf numFmtId="166" fontId="43" fillId="3" borderId="0" xfId="1" applyNumberFormat="1" applyFont="1" applyFill="1" applyProtection="1">
      <protection hidden="1"/>
    </xf>
    <xf numFmtId="166" fontId="36" fillId="3" borderId="0" xfId="1" applyNumberFormat="1" applyFont="1" applyFill="1" applyAlignment="1" applyProtection="1">
      <protection hidden="1"/>
    </xf>
    <xf numFmtId="166" fontId="44" fillId="3" borderId="0" xfId="1" applyNumberFormat="1" applyFont="1" applyFill="1" applyAlignment="1" applyProtection="1">
      <alignment horizontal="center"/>
      <protection hidden="1"/>
    </xf>
    <xf numFmtId="166" fontId="35" fillId="3" borderId="0" xfId="1" applyNumberFormat="1" applyFont="1" applyFill="1" applyAlignment="1" applyProtection="1">
      <protection hidden="1"/>
    </xf>
    <xf numFmtId="166" fontId="15" fillId="3" borderId="0" xfId="1" applyNumberFormat="1" applyFont="1" applyFill="1" applyProtection="1">
      <protection hidden="1"/>
    </xf>
    <xf numFmtId="178" fontId="35" fillId="5" borderId="0" xfId="0" applyNumberFormat="1" applyFont="1" applyFill="1" applyAlignment="1" applyProtection="1">
      <alignment horizontal="right"/>
      <protection hidden="1"/>
    </xf>
    <xf numFmtId="164" fontId="45" fillId="3" borderId="0" xfId="4" applyNumberFormat="1" applyFont="1" applyFill="1" applyAlignment="1" applyProtection="1">
      <alignment horizontal="center"/>
      <protection hidden="1"/>
    </xf>
    <xf numFmtId="178" fontId="35" fillId="3" borderId="0" xfId="0" applyNumberFormat="1" applyFont="1" applyFill="1" applyAlignment="1" applyProtection="1">
      <alignment horizontal="right"/>
      <protection hidden="1"/>
    </xf>
    <xf numFmtId="164" fontId="29" fillId="3" borderId="0" xfId="4" applyNumberFormat="1" applyFont="1" applyFill="1" applyAlignment="1" applyProtection="1">
      <alignment horizontal="left"/>
      <protection hidden="1"/>
    </xf>
    <xf numFmtId="164" fontId="46" fillId="3" borderId="0" xfId="4" applyNumberFormat="1" applyFont="1" applyFill="1" applyAlignment="1" applyProtection="1">
      <alignment horizontal="left" indent="1"/>
      <protection hidden="1"/>
    </xf>
    <xf numFmtId="164" fontId="35" fillId="3" borderId="0" xfId="6" applyNumberFormat="1" applyFont="1" applyFill="1" applyAlignment="1" applyProtection="1">
      <protection hidden="1"/>
    </xf>
    <xf numFmtId="164" fontId="36" fillId="3" borderId="0" xfId="4" applyNumberFormat="1" applyFont="1" applyFill="1" applyAlignment="1" applyProtection="1">
      <alignment horizontal="center"/>
      <protection hidden="1"/>
    </xf>
    <xf numFmtId="0" fontId="47" fillId="3" borderId="0" xfId="0" applyFont="1" applyFill="1" applyAlignment="1" applyProtection="1">
      <alignment horizontal="left"/>
      <protection hidden="1"/>
    </xf>
    <xf numFmtId="0" fontId="48" fillId="3" borderId="0" xfId="0" applyFont="1" applyFill="1" applyAlignment="1" applyProtection="1">
      <alignment horizontal="left"/>
      <protection hidden="1"/>
    </xf>
    <xf numFmtId="164" fontId="15" fillId="3" borderId="0" xfId="4" applyNumberFormat="1" applyFont="1" applyFill="1" applyAlignment="1" applyProtection="1">
      <alignment horizontal="left" indent="2"/>
      <protection hidden="1"/>
    </xf>
    <xf numFmtId="164" fontId="15" fillId="3" borderId="12" xfId="4" applyNumberFormat="1" applyFont="1" applyFill="1" applyBorder="1" applyAlignment="1" applyProtection="1">
      <alignment horizontal="left" indent="3"/>
      <protection hidden="1"/>
    </xf>
    <xf numFmtId="164" fontId="35" fillId="3" borderId="12" xfId="0" applyNumberFormat="1" applyFont="1" applyFill="1" applyBorder="1" applyProtection="1">
      <protection hidden="1"/>
    </xf>
    <xf numFmtId="164" fontId="35" fillId="3" borderId="9" xfId="4" applyNumberFormat="1" applyFont="1" applyFill="1" applyBorder="1" applyProtection="1">
      <protection hidden="1"/>
    </xf>
    <xf numFmtId="164" fontId="35" fillId="3" borderId="9" xfId="0" applyNumberFormat="1" applyFont="1" applyFill="1" applyBorder="1" applyProtection="1">
      <protection hidden="1"/>
    </xf>
    <xf numFmtId="164" fontId="49" fillId="3" borderId="0" xfId="4" applyNumberFormat="1" applyFont="1" applyFill="1" applyAlignment="1" applyProtection="1">
      <alignment horizontal="center"/>
      <protection hidden="1"/>
    </xf>
    <xf numFmtId="164" fontId="36" fillId="0" borderId="0" xfId="4" applyNumberFormat="1" applyFont="1" applyProtection="1">
      <protection hidden="1"/>
    </xf>
    <xf numFmtId="0" fontId="15" fillId="3" borderId="0" xfId="0" applyFont="1" applyFill="1" applyAlignment="1" applyProtection="1">
      <alignment horizontal="left"/>
      <protection hidden="1"/>
    </xf>
    <xf numFmtId="164" fontId="15" fillId="3" borderId="12" xfId="4" applyNumberFormat="1" applyFont="1" applyFill="1" applyBorder="1" applyAlignment="1" applyProtection="1">
      <alignment horizontal="left" indent="2"/>
      <protection hidden="1"/>
    </xf>
    <xf numFmtId="0" fontId="15" fillId="3" borderId="0" xfId="0" applyFont="1" applyFill="1" applyAlignment="1" applyProtection="1">
      <alignment horizontal="center"/>
      <protection hidden="1"/>
    </xf>
    <xf numFmtId="0" fontId="22" fillId="3" borderId="0" xfId="0" applyFont="1" applyFill="1" applyProtection="1">
      <protection hidden="1"/>
    </xf>
    <xf numFmtId="0" fontId="51" fillId="3" borderId="0" xfId="0" applyFont="1" applyFill="1" applyProtection="1">
      <protection hidden="1"/>
    </xf>
    <xf numFmtId="0" fontId="52" fillId="3" borderId="0" xfId="0" applyFont="1" applyFill="1" applyAlignment="1" applyProtection="1">
      <alignment horizontal="left"/>
      <protection hidden="1"/>
    </xf>
    <xf numFmtId="0" fontId="53" fillId="3" borderId="16" xfId="0" applyFont="1" applyFill="1" applyBorder="1" applyAlignment="1" applyProtection="1">
      <alignment horizontal="center"/>
      <protection hidden="1"/>
    </xf>
    <xf numFmtId="0" fontId="53" fillId="3" borderId="17" xfId="0" applyFont="1" applyFill="1" applyBorder="1" applyAlignment="1" applyProtection="1">
      <alignment horizontal="center"/>
      <protection hidden="1"/>
    </xf>
    <xf numFmtId="164" fontId="53" fillId="3" borderId="16" xfId="4" applyNumberFormat="1" applyFont="1" applyFill="1" applyBorder="1" applyAlignment="1" applyProtection="1">
      <alignment horizontal="left"/>
      <protection hidden="1"/>
    </xf>
    <xf numFmtId="164" fontId="53" fillId="3" borderId="14" xfId="4" applyNumberFormat="1" applyFont="1" applyFill="1" applyBorder="1" applyAlignment="1" applyProtection="1">
      <alignment horizontal="center"/>
      <protection hidden="1"/>
    </xf>
    <xf numFmtId="164" fontId="53" fillId="3" borderId="17" xfId="4" applyNumberFormat="1" applyFont="1" applyFill="1" applyBorder="1" applyAlignment="1" applyProtection="1">
      <alignment horizontal="center"/>
      <protection hidden="1"/>
    </xf>
    <xf numFmtId="164" fontId="56" fillId="0" borderId="0" xfId="4" applyNumberFormat="1" applyFont="1" applyAlignment="1" applyProtection="1">
      <alignment horizontal="center"/>
      <protection hidden="1"/>
    </xf>
    <xf numFmtId="0" fontId="52" fillId="3" borderId="16" xfId="0" applyFont="1" applyFill="1" applyBorder="1" applyProtection="1">
      <protection hidden="1"/>
    </xf>
    <xf numFmtId="0" fontId="52" fillId="3" borderId="14" xfId="0" applyFont="1" applyFill="1" applyBorder="1" applyProtection="1">
      <protection hidden="1"/>
    </xf>
    <xf numFmtId="0" fontId="57" fillId="3" borderId="17" xfId="0" applyFont="1" applyFill="1" applyBorder="1" applyProtection="1">
      <protection hidden="1"/>
    </xf>
    <xf numFmtId="0" fontId="53" fillId="3" borderId="16" xfId="0" applyFont="1" applyFill="1" applyBorder="1" applyProtection="1">
      <protection hidden="1"/>
    </xf>
    <xf numFmtId="0" fontId="52" fillId="3" borderId="14" xfId="0" applyFont="1" applyFill="1" applyBorder="1" applyAlignment="1" applyProtection="1">
      <alignment horizontal="center"/>
      <protection hidden="1"/>
    </xf>
    <xf numFmtId="0" fontId="52" fillId="3" borderId="17" xfId="0" applyFont="1" applyFill="1" applyBorder="1" applyAlignment="1" applyProtection="1">
      <alignment horizontal="center"/>
      <protection hidden="1"/>
    </xf>
    <xf numFmtId="0" fontId="52" fillId="3" borderId="0" xfId="0" applyFont="1" applyFill="1" applyProtection="1">
      <protection hidden="1"/>
    </xf>
    <xf numFmtId="0" fontId="52" fillId="5" borderId="19" xfId="0" applyFont="1" applyFill="1" applyBorder="1" applyAlignment="1" applyProtection="1">
      <alignment horizontal="left"/>
      <protection hidden="1"/>
    </xf>
    <xf numFmtId="0" fontId="52" fillId="5" borderId="17" xfId="0" applyFont="1" applyFill="1" applyBorder="1" applyProtection="1">
      <protection hidden="1"/>
    </xf>
    <xf numFmtId="164" fontId="53" fillId="3" borderId="21" xfId="4" applyNumberFormat="1" applyFont="1" applyFill="1" applyBorder="1" applyAlignment="1" applyProtection="1">
      <alignment horizontal="left"/>
      <protection hidden="1"/>
    </xf>
    <xf numFmtId="164" fontId="53" fillId="3" borderId="22" xfId="0" applyNumberFormat="1" applyFont="1" applyFill="1" applyBorder="1" applyAlignment="1" applyProtection="1">
      <alignment horizontal="center"/>
      <protection hidden="1"/>
    </xf>
    <xf numFmtId="164" fontId="53" fillId="3" borderId="23" xfId="0" applyNumberFormat="1" applyFont="1" applyFill="1" applyBorder="1" applyAlignment="1" applyProtection="1">
      <alignment horizontal="center"/>
      <protection hidden="1"/>
    </xf>
    <xf numFmtId="164" fontId="53" fillId="3" borderId="2" xfId="0" applyNumberFormat="1" applyFont="1" applyFill="1" applyBorder="1" applyAlignment="1" applyProtection="1">
      <alignment horizontal="center"/>
      <protection hidden="1"/>
    </xf>
    <xf numFmtId="164" fontId="53" fillId="3" borderId="24" xfId="0" applyNumberFormat="1" applyFont="1" applyFill="1" applyBorder="1" applyAlignment="1" applyProtection="1">
      <alignment horizontal="center"/>
      <protection hidden="1"/>
    </xf>
    <xf numFmtId="0" fontId="53" fillId="3" borderId="25" xfId="0" applyFont="1" applyFill="1" applyBorder="1" applyAlignment="1" applyProtection="1">
      <alignment horizontal="center"/>
      <protection hidden="1"/>
    </xf>
    <xf numFmtId="164" fontId="53" fillId="3" borderId="2" xfId="4" applyNumberFormat="1" applyFont="1" applyFill="1" applyBorder="1" applyProtection="1">
      <protection hidden="1"/>
    </xf>
    <xf numFmtId="0" fontId="53" fillId="3" borderId="26" xfId="0" applyFont="1" applyFill="1" applyBorder="1" applyAlignment="1" applyProtection="1">
      <alignment horizontal="right"/>
      <protection hidden="1"/>
    </xf>
    <xf numFmtId="0" fontId="53" fillId="3" borderId="27" xfId="0" applyFont="1" applyFill="1" applyBorder="1" applyAlignment="1" applyProtection="1">
      <alignment horizontal="center"/>
      <protection hidden="1"/>
    </xf>
    <xf numFmtId="0" fontId="53" fillId="3" borderId="28" xfId="0" applyFont="1" applyFill="1" applyBorder="1" applyAlignment="1" applyProtection="1">
      <alignment horizontal="center"/>
      <protection hidden="1"/>
    </xf>
    <xf numFmtId="164" fontId="55" fillId="0" borderId="0" xfId="4" applyNumberFormat="1" applyFont="1" applyAlignment="1" applyProtection="1">
      <alignment horizontal="center"/>
      <protection hidden="1"/>
    </xf>
    <xf numFmtId="164" fontId="53" fillId="3" borderId="21" xfId="4" applyNumberFormat="1" applyFont="1" applyFill="1" applyBorder="1" applyProtection="1">
      <protection hidden="1"/>
    </xf>
    <xf numFmtId="0" fontId="53" fillId="3" borderId="29" xfId="0" applyFont="1" applyFill="1" applyBorder="1" applyAlignment="1" applyProtection="1">
      <alignment horizontal="center"/>
      <protection hidden="1"/>
    </xf>
    <xf numFmtId="0" fontId="53" fillId="3" borderId="27" xfId="0" applyFont="1" applyFill="1" applyBorder="1" applyAlignment="1" applyProtection="1">
      <alignment horizontal="left"/>
      <protection hidden="1"/>
    </xf>
    <xf numFmtId="0" fontId="53" fillId="3" borderId="26" xfId="0" applyFont="1" applyFill="1" applyBorder="1" applyAlignment="1" applyProtection="1">
      <alignment horizontal="center"/>
      <protection hidden="1"/>
    </xf>
    <xf numFmtId="0" fontId="53" fillId="3" borderId="30" xfId="0" applyFont="1" applyFill="1" applyBorder="1" applyAlignment="1" applyProtection="1">
      <alignment horizontal="center"/>
      <protection hidden="1"/>
    </xf>
    <xf numFmtId="0" fontId="53" fillId="3" borderId="31" xfId="0" applyFont="1" applyFill="1" applyBorder="1" applyAlignment="1" applyProtection="1">
      <alignment horizontal="left"/>
      <protection hidden="1"/>
    </xf>
    <xf numFmtId="164" fontId="53" fillId="3" borderId="32" xfId="4" applyNumberFormat="1" applyFont="1" applyFill="1" applyBorder="1" applyAlignment="1" applyProtection="1">
      <alignment horizontal="center"/>
      <protection hidden="1"/>
    </xf>
    <xf numFmtId="0" fontId="53" fillId="3" borderId="31" xfId="0" applyFont="1" applyFill="1" applyBorder="1" applyProtection="1">
      <protection hidden="1"/>
    </xf>
    <xf numFmtId="0" fontId="53" fillId="3" borderId="2" xfId="0" applyFont="1" applyFill="1" applyBorder="1" applyAlignment="1" applyProtection="1">
      <alignment horizontal="center"/>
      <protection hidden="1"/>
    </xf>
    <xf numFmtId="164" fontId="53" fillId="3" borderId="32" xfId="0" applyNumberFormat="1" applyFont="1" applyFill="1" applyBorder="1" applyAlignment="1" applyProtection="1">
      <alignment horizontal="center"/>
      <protection hidden="1"/>
    </xf>
    <xf numFmtId="168" fontId="53" fillId="3" borderId="25" xfId="2" applyNumberFormat="1" applyFont="1" applyFill="1" applyBorder="1" applyAlignment="1" applyProtection="1">
      <alignment horizontal="center"/>
      <protection hidden="1"/>
    </xf>
    <xf numFmtId="0" fontId="52" fillId="3" borderId="21" xfId="0" applyFont="1" applyFill="1" applyBorder="1" applyProtection="1">
      <protection hidden="1"/>
    </xf>
    <xf numFmtId="0" fontId="52" fillId="3" borderId="2" xfId="0" applyFont="1" applyFill="1" applyBorder="1" applyAlignment="1" applyProtection="1">
      <alignment horizontal="center"/>
      <protection hidden="1"/>
    </xf>
    <xf numFmtId="0" fontId="52" fillId="3" borderId="25" xfId="0" applyFont="1" applyFill="1" applyBorder="1" applyAlignment="1" applyProtection="1">
      <alignment horizontal="center"/>
      <protection hidden="1"/>
    </xf>
    <xf numFmtId="164" fontId="52" fillId="5" borderId="19" xfId="0" applyNumberFormat="1" applyFont="1" applyFill="1" applyBorder="1" applyAlignment="1" applyProtection="1">
      <alignment vertical="center"/>
      <protection hidden="1"/>
    </xf>
    <xf numFmtId="167" fontId="52" fillId="5" borderId="0" xfId="4" applyNumberFormat="1" applyFont="1" applyFill="1" applyAlignment="1" applyProtection="1">
      <alignment vertical="center"/>
      <protection hidden="1"/>
    </xf>
    <xf numFmtId="0" fontId="52" fillId="5" borderId="33" xfId="0" applyFont="1" applyFill="1" applyBorder="1" applyProtection="1">
      <protection hidden="1"/>
    </xf>
    <xf numFmtId="164" fontId="53" fillId="3" borderId="19" xfId="2" applyNumberFormat="1" applyFont="1" applyFill="1" applyBorder="1" applyAlignment="1" applyProtection="1">
      <protection hidden="1"/>
    </xf>
    <xf numFmtId="0" fontId="15" fillId="5" borderId="33" xfId="0" applyFont="1" applyFill="1" applyBorder="1" applyProtection="1">
      <protection hidden="1"/>
    </xf>
    <xf numFmtId="0" fontId="52" fillId="5" borderId="19" xfId="0" applyFont="1" applyFill="1" applyBorder="1" applyAlignment="1" applyProtection="1">
      <alignment vertical="center"/>
      <protection hidden="1"/>
    </xf>
    <xf numFmtId="164" fontId="52" fillId="5" borderId="0" xfId="0" applyNumberFormat="1" applyFont="1" applyFill="1" applyAlignment="1" applyProtection="1">
      <alignment vertical="center"/>
      <protection hidden="1"/>
    </xf>
    <xf numFmtId="164" fontId="53" fillId="3" borderId="19" xfId="2" applyNumberFormat="1" applyFont="1" applyFill="1" applyBorder="1" applyAlignment="1" applyProtection="1">
      <alignment vertical="top"/>
      <protection hidden="1"/>
    </xf>
    <xf numFmtId="9" fontId="53" fillId="3" borderId="0" xfId="1" applyFont="1" applyFill="1" applyBorder="1" applyAlignment="1" applyProtection="1">
      <alignment horizontal="center"/>
      <protection hidden="1"/>
    </xf>
    <xf numFmtId="9" fontId="53" fillId="3" borderId="53" xfId="1" applyFont="1" applyFill="1" applyBorder="1" applyAlignment="1" applyProtection="1">
      <alignment horizontal="center"/>
      <protection hidden="1"/>
    </xf>
    <xf numFmtId="0" fontId="47" fillId="3" borderId="19" xfId="0" applyFont="1" applyFill="1" applyBorder="1" applyProtection="1">
      <protection hidden="1"/>
    </xf>
    <xf numFmtId="0" fontId="47" fillId="3" borderId="0" xfId="0" applyFont="1" applyFill="1" applyProtection="1">
      <protection hidden="1"/>
    </xf>
    <xf numFmtId="0" fontId="47" fillId="3" borderId="33" xfId="0" applyFont="1" applyFill="1" applyBorder="1" applyProtection="1">
      <protection hidden="1"/>
    </xf>
    <xf numFmtId="0" fontId="53" fillId="3" borderId="19" xfId="0" applyFont="1" applyFill="1" applyBorder="1" applyProtection="1">
      <protection hidden="1"/>
    </xf>
    <xf numFmtId="0" fontId="53" fillId="3" borderId="0" xfId="0" applyFont="1" applyFill="1" applyAlignment="1" applyProtection="1">
      <alignment horizontal="left" indent="1"/>
      <protection hidden="1"/>
    </xf>
    <xf numFmtId="0" fontId="53" fillId="3" borderId="33" xfId="0" applyFont="1" applyFill="1" applyBorder="1" applyAlignment="1" applyProtection="1">
      <alignment horizontal="left" indent="1"/>
      <protection hidden="1"/>
    </xf>
    <xf numFmtId="164" fontId="53" fillId="3" borderId="0" xfId="2" applyNumberFormat="1" applyFont="1" applyFill="1" applyBorder="1" applyAlignment="1" applyProtection="1">
      <protection hidden="1"/>
    </xf>
    <xf numFmtId="168" fontId="52" fillId="3" borderId="53" xfId="1" applyNumberFormat="1" applyFont="1" applyFill="1" applyBorder="1" applyAlignment="1" applyProtection="1">
      <alignment horizontal="center"/>
      <protection hidden="1"/>
    </xf>
    <xf numFmtId="0" fontId="53" fillId="3" borderId="19" xfId="0" applyFont="1" applyFill="1" applyBorder="1" applyAlignment="1" applyProtection="1">
      <alignment horizontal="left"/>
      <protection hidden="1"/>
    </xf>
    <xf numFmtId="164" fontId="53" fillId="3" borderId="0" xfId="2" applyNumberFormat="1" applyFont="1" applyFill="1" applyBorder="1" applyAlignment="1" applyProtection="1">
      <alignment horizontal="left" indent="2"/>
      <protection hidden="1"/>
    </xf>
    <xf numFmtId="0" fontId="52" fillId="3" borderId="19" xfId="0" applyFont="1" applyFill="1" applyBorder="1" applyProtection="1">
      <protection hidden="1"/>
    </xf>
    <xf numFmtId="164" fontId="58" fillId="3" borderId="0" xfId="4" applyNumberFormat="1" applyFont="1" applyFill="1" applyProtection="1">
      <protection hidden="1"/>
    </xf>
    <xf numFmtId="164" fontId="58" fillId="3" borderId="33" xfId="4" applyNumberFormat="1" applyFont="1" applyFill="1" applyBorder="1" applyProtection="1">
      <protection hidden="1"/>
    </xf>
    <xf numFmtId="164" fontId="52" fillId="6" borderId="42" xfId="2" applyNumberFormat="1" applyFont="1" applyFill="1" applyBorder="1" applyAlignment="1" applyProtection="1">
      <alignment horizontal="center"/>
      <protection hidden="1"/>
    </xf>
    <xf numFmtId="164" fontId="53" fillId="6" borderId="43" xfId="2" applyNumberFormat="1" applyFont="1" applyFill="1" applyBorder="1" applyAlignment="1" applyProtection="1">
      <alignment horizontal="center"/>
      <protection hidden="1"/>
    </xf>
    <xf numFmtId="164" fontId="53" fillId="6" borderId="44" xfId="2" applyNumberFormat="1" applyFont="1" applyFill="1" applyBorder="1" applyAlignment="1" applyProtection="1">
      <alignment horizontal="center"/>
      <protection hidden="1"/>
    </xf>
    <xf numFmtId="9" fontId="53" fillId="6" borderId="45" xfId="1" applyFont="1" applyFill="1" applyBorder="1" applyAlignment="1" applyProtection="1">
      <alignment horizontal="center"/>
      <protection hidden="1"/>
    </xf>
    <xf numFmtId="164" fontId="53" fillId="6" borderId="54" xfId="2" applyNumberFormat="1" applyFont="1" applyFill="1" applyBorder="1" applyAlignment="1" applyProtection="1">
      <protection hidden="1"/>
    </xf>
    <xf numFmtId="164" fontId="53" fillId="6" borderId="44" xfId="2" applyNumberFormat="1" applyFont="1" applyFill="1" applyBorder="1" applyAlignment="1" applyProtection="1">
      <alignment horizontal="left"/>
      <protection hidden="1"/>
    </xf>
    <xf numFmtId="164" fontId="53" fillId="6" borderId="55" xfId="2" applyNumberFormat="1" applyFont="1" applyFill="1" applyBorder="1" applyAlignment="1" applyProtection="1">
      <alignment horizontal="center"/>
      <protection hidden="1"/>
    </xf>
    <xf numFmtId="178" fontId="6" fillId="7" borderId="0" xfId="4" applyNumberFormat="1" applyFont="1" applyFill="1" applyAlignment="1" applyProtection="1">
      <alignment horizontal="center"/>
      <protection hidden="1"/>
    </xf>
    <xf numFmtId="179" fontId="6" fillId="7" borderId="0" xfId="4" applyNumberFormat="1" applyFont="1" applyFill="1" applyAlignment="1" applyProtection="1">
      <alignment horizontal="center"/>
      <protection hidden="1"/>
    </xf>
    <xf numFmtId="178" fontId="6" fillId="8" borderId="0" xfId="4" applyNumberFormat="1" applyFont="1" applyFill="1" applyAlignment="1" applyProtection="1">
      <alignment horizontal="center"/>
      <protection hidden="1"/>
    </xf>
    <xf numFmtId="164" fontId="53" fillId="6" borderId="42" xfId="2" applyNumberFormat="1" applyFont="1" applyFill="1" applyBorder="1" applyAlignment="1" applyProtection="1">
      <protection hidden="1"/>
    </xf>
    <xf numFmtId="9" fontId="53" fillId="6" borderId="44" xfId="1" applyFont="1" applyFill="1" applyBorder="1" applyAlignment="1" applyProtection="1">
      <alignment horizontal="center"/>
      <protection hidden="1"/>
    </xf>
    <xf numFmtId="169" fontId="53" fillId="6" borderId="43" xfId="2" applyNumberFormat="1" applyFont="1" applyFill="1" applyBorder="1" applyAlignment="1" applyProtection="1">
      <alignment horizontal="center"/>
      <protection hidden="1"/>
    </xf>
    <xf numFmtId="169" fontId="53" fillId="6" borderId="47" xfId="2" applyNumberFormat="1" applyFont="1" applyFill="1" applyBorder="1" applyAlignment="1" applyProtection="1">
      <alignment horizontal="center"/>
      <protection hidden="1"/>
    </xf>
    <xf numFmtId="9" fontId="53" fillId="6" borderId="48" xfId="1" applyFont="1" applyFill="1" applyBorder="1" applyAlignment="1" applyProtection="1">
      <alignment horizontal="center"/>
      <protection hidden="1"/>
    </xf>
    <xf numFmtId="164" fontId="53" fillId="6" borderId="46" xfId="2" applyNumberFormat="1" applyFont="1" applyFill="1" applyBorder="1" applyAlignment="1" applyProtection="1">
      <protection hidden="1"/>
    </xf>
    <xf numFmtId="164" fontId="53" fillId="6" borderId="37" xfId="2" applyNumberFormat="1" applyFont="1" applyFill="1" applyBorder="1" applyAlignment="1" applyProtection="1">
      <alignment horizontal="center"/>
      <protection hidden="1"/>
    </xf>
    <xf numFmtId="164" fontId="53" fillId="6" borderId="49" xfId="2" applyNumberFormat="1" applyFont="1" applyFill="1" applyBorder="1" applyAlignment="1" applyProtection="1">
      <alignment horizontal="center"/>
      <protection hidden="1"/>
    </xf>
    <xf numFmtId="9" fontId="53" fillId="6" borderId="50" xfId="1" applyFont="1" applyFill="1" applyBorder="1" applyAlignment="1" applyProtection="1">
      <alignment horizontal="center"/>
      <protection hidden="1"/>
    </xf>
    <xf numFmtId="164" fontId="53" fillId="3" borderId="58" xfId="0" applyNumberFormat="1" applyFont="1" applyFill="1" applyBorder="1" applyProtection="1">
      <protection hidden="1"/>
    </xf>
    <xf numFmtId="164" fontId="53" fillId="3" borderId="59" xfId="0" applyNumberFormat="1" applyFont="1" applyFill="1" applyBorder="1" applyProtection="1">
      <protection hidden="1"/>
    </xf>
    <xf numFmtId="164" fontId="53" fillId="3" borderId="19" xfId="0" applyNumberFormat="1" applyFont="1" applyFill="1" applyBorder="1" applyProtection="1">
      <protection hidden="1"/>
    </xf>
    <xf numFmtId="164" fontId="53" fillId="3" borderId="61" xfId="0" applyNumberFormat="1" applyFont="1" applyFill="1" applyBorder="1" applyProtection="1">
      <protection hidden="1"/>
    </xf>
    <xf numFmtId="172" fontId="15" fillId="5" borderId="0" xfId="0" applyNumberFormat="1" applyFont="1" applyFill="1" applyProtection="1">
      <protection hidden="1"/>
    </xf>
    <xf numFmtId="0" fontId="53" fillId="3" borderId="61" xfId="0" applyFont="1" applyFill="1" applyBorder="1" applyProtection="1">
      <protection hidden="1"/>
    </xf>
    <xf numFmtId="164" fontId="52" fillId="3" borderId="6" xfId="0" applyNumberFormat="1" applyFont="1" applyFill="1" applyBorder="1" applyAlignment="1" applyProtection="1">
      <alignment vertical="center"/>
      <protection hidden="1"/>
    </xf>
    <xf numFmtId="164" fontId="52" fillId="3" borderId="0" xfId="0" applyNumberFormat="1" applyFont="1" applyFill="1" applyAlignment="1" applyProtection="1">
      <alignment vertical="center"/>
      <protection hidden="1"/>
    </xf>
    <xf numFmtId="172" fontId="52" fillId="3" borderId="6" xfId="0" applyNumberFormat="1" applyFont="1" applyFill="1" applyBorder="1" applyProtection="1">
      <protection hidden="1"/>
    </xf>
    <xf numFmtId="172" fontId="15" fillId="3" borderId="0" xfId="0" applyNumberFormat="1" applyFont="1" applyFill="1" applyProtection="1">
      <protection hidden="1"/>
    </xf>
    <xf numFmtId="164" fontId="52" fillId="5" borderId="0" xfId="0" applyNumberFormat="1" applyFont="1" applyFill="1" applyAlignment="1" applyProtection="1">
      <alignment horizontal="center" vertical="center"/>
      <protection hidden="1"/>
    </xf>
    <xf numFmtId="0" fontId="52" fillId="5" borderId="21" xfId="0" applyFont="1" applyFill="1" applyBorder="1" applyProtection="1">
      <protection hidden="1"/>
    </xf>
    <xf numFmtId="164" fontId="52" fillId="3" borderId="62" xfId="0" applyNumberFormat="1" applyFont="1" applyFill="1" applyBorder="1" applyAlignment="1" applyProtection="1">
      <alignment vertical="center"/>
      <protection hidden="1"/>
    </xf>
    <xf numFmtId="164" fontId="52" fillId="3" borderId="2" xfId="0" applyNumberFormat="1" applyFont="1" applyFill="1" applyBorder="1" applyAlignment="1" applyProtection="1">
      <alignment vertical="center"/>
      <protection hidden="1"/>
    </xf>
    <xf numFmtId="172" fontId="15" fillId="5" borderId="2" xfId="0" applyNumberFormat="1" applyFont="1" applyFill="1" applyBorder="1" applyProtection="1">
      <protection hidden="1"/>
    </xf>
    <xf numFmtId="172" fontId="52" fillId="3" borderId="62" xfId="0" applyNumberFormat="1" applyFont="1" applyFill="1" applyBorder="1" applyProtection="1">
      <protection hidden="1"/>
    </xf>
    <xf numFmtId="172" fontId="15" fillId="3" borderId="2" xfId="0" applyNumberFormat="1" applyFont="1" applyFill="1" applyBorder="1" applyProtection="1">
      <protection hidden="1"/>
    </xf>
    <xf numFmtId="164" fontId="52" fillId="5" borderId="2" xfId="0" applyNumberFormat="1" applyFont="1" applyFill="1" applyBorder="1" applyAlignment="1" applyProtection="1">
      <alignment horizontal="center" vertical="center"/>
      <protection hidden="1"/>
    </xf>
    <xf numFmtId="0" fontId="15" fillId="5" borderId="25" xfId="0" applyFont="1" applyFill="1" applyBorder="1" applyProtection="1">
      <protection hidden="1"/>
    </xf>
    <xf numFmtId="164" fontId="52" fillId="4" borderId="19" xfId="0" applyNumberFormat="1" applyFont="1" applyFill="1" applyBorder="1" applyAlignment="1" applyProtection="1">
      <alignment horizontal="left" vertical="center"/>
      <protection hidden="1"/>
    </xf>
    <xf numFmtId="164" fontId="52" fillId="4" borderId="0" xfId="0" applyNumberFormat="1" applyFont="1" applyFill="1" applyAlignment="1" applyProtection="1">
      <alignment horizontal="left" vertical="center"/>
      <protection hidden="1"/>
    </xf>
    <xf numFmtId="164" fontId="52" fillId="4" borderId="33" xfId="0" applyNumberFormat="1" applyFont="1" applyFill="1" applyBorder="1" applyAlignment="1" applyProtection="1">
      <alignment horizontal="left" vertical="center"/>
      <protection hidden="1"/>
    </xf>
    <xf numFmtId="0" fontId="52" fillId="4" borderId="19" xfId="0" applyFont="1" applyFill="1" applyBorder="1" applyProtection="1">
      <protection hidden="1"/>
    </xf>
    <xf numFmtId="0" fontId="52" fillId="4" borderId="0" xfId="0" applyFont="1" applyFill="1" applyProtection="1">
      <protection hidden="1"/>
    </xf>
    <xf numFmtId="0" fontId="52" fillId="4" borderId="33" xfId="0" applyFont="1" applyFill="1" applyBorder="1" applyProtection="1">
      <protection hidden="1"/>
    </xf>
    <xf numFmtId="0" fontId="47" fillId="3" borderId="0" xfId="0" applyFont="1" applyFill="1" applyAlignment="1" applyProtection="1">
      <alignment horizontal="left" vertical="center"/>
      <protection hidden="1"/>
    </xf>
    <xf numFmtId="0" fontId="52" fillId="4" borderId="19" xfId="0" applyFont="1" applyFill="1" applyBorder="1" applyAlignment="1" applyProtection="1">
      <alignment vertical="center"/>
      <protection hidden="1"/>
    </xf>
    <xf numFmtId="0" fontId="52" fillId="4" borderId="0" xfId="0" applyFont="1" applyFill="1" applyAlignment="1" applyProtection="1">
      <alignment vertical="center"/>
      <protection hidden="1"/>
    </xf>
    <xf numFmtId="0" fontId="52" fillId="4" borderId="33" xfId="0" applyFont="1" applyFill="1" applyBorder="1" applyAlignment="1" applyProtection="1">
      <alignment vertical="center"/>
      <protection hidden="1"/>
    </xf>
    <xf numFmtId="164" fontId="52" fillId="6" borderId="64" xfId="2" applyNumberFormat="1" applyFont="1" applyFill="1" applyBorder="1" applyAlignment="1" applyProtection="1">
      <alignment horizontal="center"/>
      <protection hidden="1"/>
    </xf>
    <xf numFmtId="164" fontId="53" fillId="6" borderId="65" xfId="2" applyNumberFormat="1" applyFont="1" applyFill="1" applyBorder="1" applyAlignment="1" applyProtection="1">
      <alignment horizontal="center"/>
      <protection hidden="1"/>
    </xf>
    <xf numFmtId="164" fontId="53" fillId="6" borderId="66" xfId="2" applyNumberFormat="1" applyFont="1" applyFill="1" applyBorder="1" applyAlignment="1" applyProtection="1">
      <alignment horizontal="center"/>
      <protection hidden="1"/>
    </xf>
    <xf numFmtId="9" fontId="53" fillId="6" borderId="67" xfId="1" applyFont="1" applyFill="1" applyBorder="1" applyAlignment="1" applyProtection="1">
      <alignment horizontal="center"/>
      <protection hidden="1"/>
    </xf>
    <xf numFmtId="164" fontId="53" fillId="6" borderId="68" xfId="2" applyNumberFormat="1" applyFont="1" applyFill="1" applyBorder="1" applyAlignment="1" applyProtection="1">
      <protection hidden="1"/>
    </xf>
    <xf numFmtId="164" fontId="53" fillId="6" borderId="66" xfId="2" applyNumberFormat="1" applyFont="1" applyFill="1" applyBorder="1" applyAlignment="1" applyProtection="1">
      <alignment horizontal="left"/>
      <protection hidden="1"/>
    </xf>
    <xf numFmtId="164" fontId="53" fillId="6" borderId="69" xfId="2" applyNumberFormat="1" applyFont="1" applyFill="1" applyBorder="1" applyAlignment="1" applyProtection="1">
      <alignment horizontal="center"/>
      <protection hidden="1"/>
    </xf>
    <xf numFmtId="164" fontId="53" fillId="6" borderId="64" xfId="2" applyNumberFormat="1" applyFont="1" applyFill="1" applyBorder="1" applyAlignment="1" applyProtection="1">
      <protection hidden="1"/>
    </xf>
    <xf numFmtId="9" fontId="53" fillId="6" borderId="66" xfId="1" applyFont="1" applyFill="1" applyBorder="1" applyAlignment="1" applyProtection="1">
      <alignment horizontal="center"/>
      <protection hidden="1"/>
    </xf>
    <xf numFmtId="169" fontId="53" fillId="6" borderId="65" xfId="2" applyNumberFormat="1" applyFont="1" applyFill="1" applyBorder="1" applyAlignment="1" applyProtection="1">
      <alignment horizontal="center"/>
      <protection hidden="1"/>
    </xf>
    <xf numFmtId="169" fontId="53" fillId="6" borderId="70" xfId="2" applyNumberFormat="1" applyFont="1" applyFill="1" applyBorder="1" applyAlignment="1" applyProtection="1">
      <alignment horizontal="center"/>
      <protection hidden="1"/>
    </xf>
    <xf numFmtId="9" fontId="53" fillId="6" borderId="71" xfId="1" applyFont="1" applyFill="1" applyBorder="1" applyAlignment="1" applyProtection="1">
      <alignment horizontal="center"/>
      <protection hidden="1"/>
    </xf>
    <xf numFmtId="164" fontId="53" fillId="6" borderId="72" xfId="2" applyNumberFormat="1" applyFont="1" applyFill="1" applyBorder="1" applyAlignment="1" applyProtection="1">
      <protection hidden="1"/>
    </xf>
    <xf numFmtId="164" fontId="53" fillId="6" borderId="73" xfId="2" applyNumberFormat="1" applyFont="1" applyFill="1" applyBorder="1" applyAlignment="1" applyProtection="1">
      <alignment horizontal="center"/>
      <protection hidden="1"/>
    </xf>
    <xf numFmtId="164" fontId="53" fillId="6" borderId="74" xfId="2" applyNumberFormat="1" applyFont="1" applyFill="1" applyBorder="1" applyAlignment="1" applyProtection="1">
      <alignment horizontal="center"/>
      <protection hidden="1"/>
    </xf>
    <xf numFmtId="9" fontId="53" fillId="6" borderId="75" xfId="1" applyFont="1" applyFill="1" applyBorder="1" applyAlignment="1" applyProtection="1">
      <alignment horizontal="center"/>
      <protection hidden="1"/>
    </xf>
    <xf numFmtId="0" fontId="52" fillId="4" borderId="21" xfId="0" applyFont="1" applyFill="1" applyBorder="1" applyProtection="1">
      <protection hidden="1"/>
    </xf>
    <xf numFmtId="0" fontId="52" fillId="4" borderId="2" xfId="0" applyFont="1" applyFill="1" applyBorder="1" applyProtection="1">
      <protection hidden="1"/>
    </xf>
    <xf numFmtId="0" fontId="52" fillId="4" borderId="25" xfId="0" applyFont="1" applyFill="1" applyBorder="1" applyProtection="1">
      <protection hidden="1"/>
    </xf>
    <xf numFmtId="9" fontId="15" fillId="3" borderId="0" xfId="0" applyNumberFormat="1" applyFont="1" applyFill="1" applyProtection="1">
      <protection hidden="1"/>
    </xf>
    <xf numFmtId="0" fontId="59" fillId="3" borderId="0" xfId="0" applyFont="1" applyFill="1" applyProtection="1">
      <protection hidden="1"/>
    </xf>
    <xf numFmtId="0" fontId="7" fillId="3" borderId="0" xfId="3" applyFont="1" applyFill="1" applyAlignment="1" applyProtection="1">
      <protection hidden="1"/>
    </xf>
    <xf numFmtId="0" fontId="7" fillId="3" borderId="0" xfId="3" applyFont="1" applyFill="1" applyAlignment="1" applyProtection="1">
      <protection locked="0" hidden="1"/>
    </xf>
    <xf numFmtId="0" fontId="60" fillId="3" borderId="0" xfId="0" applyFont="1" applyFill="1" applyProtection="1">
      <protection hidden="1"/>
    </xf>
    <xf numFmtId="0" fontId="61" fillId="3" borderId="0" xfId="0" applyFont="1" applyFill="1" applyProtection="1">
      <protection hidden="1"/>
    </xf>
    <xf numFmtId="0" fontId="62" fillId="3" borderId="0" xfId="0" applyFont="1" applyFill="1" applyProtection="1">
      <protection hidden="1"/>
    </xf>
    <xf numFmtId="0" fontId="63" fillId="3" borderId="0" xfId="0" applyFont="1" applyFill="1" applyProtection="1">
      <protection hidden="1"/>
    </xf>
    <xf numFmtId="164" fontId="13" fillId="3" borderId="0" xfId="0" applyNumberFormat="1" applyFont="1" applyFill="1" applyProtection="1">
      <protection hidden="1"/>
    </xf>
    <xf numFmtId="0" fontId="64" fillId="3" borderId="0" xfId="0" applyFont="1" applyFill="1" applyProtection="1">
      <protection hidden="1"/>
    </xf>
    <xf numFmtId="164" fontId="9" fillId="3" borderId="0" xfId="4" applyNumberFormat="1" applyFont="1" applyFill="1" applyAlignment="1" applyProtection="1">
      <alignment vertical="top"/>
      <protection hidden="1"/>
    </xf>
    <xf numFmtId="164" fontId="6" fillId="3" borderId="0" xfId="4" applyNumberFormat="1" applyFont="1" applyFill="1" applyAlignment="1" applyProtection="1">
      <alignment vertical="top"/>
      <protection hidden="1"/>
    </xf>
    <xf numFmtId="164" fontId="67" fillId="6" borderId="54" xfId="2" applyNumberFormat="1" applyFont="1" applyFill="1" applyBorder="1" applyAlignment="1" applyProtection="1">
      <protection hidden="1"/>
    </xf>
    <xf numFmtId="164" fontId="67" fillId="6" borderId="44" xfId="2" applyNumberFormat="1" applyFont="1" applyFill="1" applyBorder="1" applyAlignment="1" applyProtection="1">
      <alignment horizontal="left"/>
      <protection hidden="1"/>
    </xf>
    <xf numFmtId="164" fontId="67" fillId="6" borderId="43" xfId="2" applyNumberFormat="1" applyFont="1" applyFill="1" applyBorder="1" applyAlignment="1" applyProtection="1">
      <alignment horizontal="center"/>
      <protection hidden="1"/>
    </xf>
    <xf numFmtId="164" fontId="67" fillId="6" borderId="44" xfId="2" applyNumberFormat="1" applyFont="1" applyFill="1" applyBorder="1" applyAlignment="1" applyProtection="1">
      <alignment horizontal="center"/>
      <protection hidden="1"/>
    </xf>
    <xf numFmtId="164" fontId="67" fillId="6" borderId="55" xfId="2" applyNumberFormat="1" applyFont="1" applyFill="1" applyBorder="1" applyAlignment="1" applyProtection="1">
      <alignment horizontal="center"/>
      <protection hidden="1"/>
    </xf>
    <xf numFmtId="178" fontId="68" fillId="7" borderId="0" xfId="4" applyNumberFormat="1" applyFont="1" applyFill="1" applyAlignment="1" applyProtection="1">
      <alignment horizontal="center"/>
      <protection hidden="1"/>
    </xf>
    <xf numFmtId="179" fontId="68" fillId="7" borderId="0" xfId="4" applyNumberFormat="1" applyFont="1" applyFill="1" applyAlignment="1" applyProtection="1">
      <alignment horizontal="center"/>
      <protection hidden="1"/>
    </xf>
    <xf numFmtId="178" fontId="68" fillId="8" borderId="0" xfId="4" applyNumberFormat="1" applyFont="1" applyFill="1" applyAlignment="1" applyProtection="1">
      <alignment horizontal="center"/>
      <protection hidden="1"/>
    </xf>
    <xf numFmtId="9" fontId="67" fillId="6" borderId="41" xfId="1" applyFont="1" applyFill="1" applyBorder="1" applyAlignment="1" applyProtection="1">
      <alignment horizontal="center"/>
      <protection hidden="1"/>
    </xf>
    <xf numFmtId="9" fontId="67" fillId="6" borderId="52" xfId="1" applyFont="1" applyFill="1" applyBorder="1" applyAlignment="1" applyProtection="1">
      <alignment horizontal="center"/>
      <protection hidden="1"/>
    </xf>
    <xf numFmtId="168" fontId="67" fillId="6" borderId="52" xfId="1" applyNumberFormat="1" applyFont="1" applyFill="1" applyBorder="1" applyAlignment="1" applyProtection="1">
      <alignment horizontal="center"/>
      <protection hidden="1"/>
    </xf>
    <xf numFmtId="172" fontId="67" fillId="6" borderId="52" xfId="1" applyNumberFormat="1" applyFont="1" applyFill="1" applyBorder="1" applyAlignment="1" applyProtection="1">
      <alignment horizontal="center"/>
      <protection hidden="1"/>
    </xf>
    <xf numFmtId="164" fontId="65" fillId="9" borderId="43" xfId="2" applyNumberFormat="1" applyFont="1" applyFill="1" applyBorder="1" applyAlignment="1" applyProtection="1">
      <alignment horizontal="center"/>
      <protection locked="0" hidden="1"/>
    </xf>
    <xf numFmtId="164" fontId="65" fillId="9" borderId="44" xfId="2" applyNumberFormat="1" applyFont="1" applyFill="1" applyBorder="1" applyAlignment="1" applyProtection="1">
      <alignment horizontal="center"/>
      <protection locked="0" hidden="1"/>
    </xf>
    <xf numFmtId="9" fontId="65" fillId="9" borderId="45" xfId="1" applyFont="1" applyFill="1" applyBorder="1" applyAlignment="1" applyProtection="1">
      <alignment horizontal="center"/>
      <protection locked="0" hidden="1"/>
    </xf>
    <xf numFmtId="164" fontId="65" fillId="9" borderId="54" xfId="2" applyNumberFormat="1" applyFont="1" applyFill="1" applyBorder="1" applyAlignment="1" applyProtection="1">
      <protection locked="0" hidden="1"/>
    </xf>
    <xf numFmtId="164" fontId="65" fillId="9" borderId="44" xfId="2" applyNumberFormat="1" applyFont="1" applyFill="1" applyBorder="1" applyAlignment="1" applyProtection="1">
      <alignment horizontal="left"/>
      <protection locked="0" hidden="1"/>
    </xf>
    <xf numFmtId="164" fontId="65" fillId="9" borderId="55" xfId="2" applyNumberFormat="1" applyFont="1" applyFill="1" applyBorder="1" applyAlignment="1" applyProtection="1">
      <alignment horizontal="center"/>
      <protection locked="0" hidden="1"/>
    </xf>
    <xf numFmtId="164" fontId="65" fillId="9" borderId="34" xfId="2" applyNumberFormat="1" applyFont="1" applyFill="1" applyBorder="1" applyAlignment="1" applyProtection="1">
      <protection locked="0" hidden="1"/>
    </xf>
    <xf numFmtId="164" fontId="65" fillId="9" borderId="35" xfId="2" applyNumberFormat="1" applyFont="1" applyFill="1" applyBorder="1" applyAlignment="1" applyProtection="1">
      <alignment horizontal="center"/>
      <protection locked="0" hidden="1"/>
    </xf>
    <xf numFmtId="9" fontId="65" fillId="9" borderId="36" xfId="1" applyFont="1" applyFill="1" applyBorder="1" applyAlignment="1" applyProtection="1">
      <alignment horizontal="center"/>
      <protection locked="0" hidden="1"/>
    </xf>
    <xf numFmtId="169" fontId="65" fillId="9" borderId="35" xfId="2" applyNumberFormat="1" applyFont="1" applyFill="1" applyBorder="1" applyAlignment="1" applyProtection="1">
      <alignment horizontal="center"/>
      <protection locked="0" hidden="1"/>
    </xf>
    <xf numFmtId="169" fontId="65" fillId="9" borderId="38" xfId="2" applyNumberFormat="1" applyFont="1" applyFill="1" applyBorder="1" applyAlignment="1" applyProtection="1">
      <alignment horizontal="center"/>
      <protection locked="0" hidden="1"/>
    </xf>
    <xf numFmtId="9" fontId="65" fillId="9" borderId="39" xfId="1" applyFont="1" applyFill="1" applyBorder="1" applyAlignment="1" applyProtection="1">
      <alignment horizontal="center"/>
      <protection locked="0" hidden="1"/>
    </xf>
    <xf numFmtId="164" fontId="65" fillId="9" borderId="42" xfId="2" applyNumberFormat="1" applyFont="1" applyFill="1" applyBorder="1" applyAlignment="1" applyProtection="1">
      <protection locked="0" hidden="1"/>
    </xf>
    <xf numFmtId="9" fontId="65" fillId="9" borderId="48" xfId="1" applyFont="1" applyFill="1" applyBorder="1" applyAlignment="1" applyProtection="1">
      <alignment horizontal="center"/>
      <protection locked="0" hidden="1"/>
    </xf>
    <xf numFmtId="164" fontId="65" fillId="9" borderId="46" xfId="2" applyNumberFormat="1" applyFont="1" applyFill="1" applyBorder="1" applyAlignment="1" applyProtection="1">
      <protection locked="0" hidden="1"/>
    </xf>
    <xf numFmtId="164" fontId="65" fillId="9" borderId="37" xfId="2" applyNumberFormat="1" applyFont="1" applyFill="1" applyBorder="1" applyAlignment="1" applyProtection="1">
      <alignment horizontal="center"/>
      <protection locked="0" hidden="1"/>
    </xf>
    <xf numFmtId="164" fontId="65" fillId="9" borderId="49" xfId="2" applyNumberFormat="1" applyFont="1" applyFill="1" applyBorder="1" applyAlignment="1" applyProtection="1">
      <alignment horizontal="center"/>
      <protection locked="0" hidden="1"/>
    </xf>
    <xf numFmtId="9" fontId="65" fillId="9" borderId="50" xfId="1" applyFont="1" applyFill="1" applyBorder="1" applyAlignment="1" applyProtection="1">
      <alignment horizontal="center"/>
      <protection locked="0" hidden="1"/>
    </xf>
    <xf numFmtId="9" fontId="66" fillId="9" borderId="40" xfId="1" applyFont="1" applyFill="1" applyBorder="1" applyAlignment="1" applyProtection="1">
      <alignment horizontal="center"/>
      <protection locked="0" hidden="1"/>
    </xf>
    <xf numFmtId="9" fontId="66" fillId="9" borderId="51" xfId="1" applyFont="1" applyFill="1" applyBorder="1" applyAlignment="1" applyProtection="1">
      <alignment horizontal="center"/>
      <protection locked="0" hidden="1"/>
    </xf>
    <xf numFmtId="168" fontId="66" fillId="9" borderId="52" xfId="1" applyNumberFormat="1" applyFont="1" applyFill="1" applyBorder="1" applyAlignment="1" applyProtection="1">
      <alignment horizontal="center"/>
      <protection locked="0" hidden="1"/>
    </xf>
    <xf numFmtId="172" fontId="66" fillId="9" borderId="52" xfId="2" applyNumberFormat="1" applyFont="1" applyFill="1" applyBorder="1" applyAlignment="1" applyProtection="1">
      <alignment horizontal="center"/>
      <protection locked="0" hidden="1"/>
    </xf>
    <xf numFmtId="164" fontId="66" fillId="9" borderId="60" xfId="2" applyNumberFormat="1" applyFont="1" applyFill="1" applyBorder="1" applyAlignment="1" applyProtection="1">
      <alignment horizontal="center"/>
      <protection locked="0" hidden="1"/>
    </xf>
    <xf numFmtId="164" fontId="8" fillId="3" borderId="0" xfId="4" applyNumberFormat="1" applyFont="1" applyFill="1" applyAlignment="1" applyProtection="1">
      <alignment horizontal="left" vertical="top"/>
      <protection hidden="1"/>
    </xf>
    <xf numFmtId="169" fontId="6" fillId="3" borderId="0" xfId="4" applyNumberFormat="1" applyFont="1" applyFill="1" applyAlignment="1" applyProtection="1">
      <alignment vertical="top"/>
      <protection hidden="1"/>
    </xf>
    <xf numFmtId="0" fontId="15" fillId="3" borderId="0" xfId="0" applyFont="1" applyFill="1" applyAlignment="1" applyProtection="1">
      <alignment horizontal="center" vertical="top"/>
      <protection hidden="1"/>
    </xf>
    <xf numFmtId="0" fontId="7" fillId="3" borderId="0" xfId="3" applyFont="1" applyFill="1" applyAlignment="1" applyProtection="1">
      <alignment vertical="top"/>
      <protection hidden="1"/>
    </xf>
    <xf numFmtId="164" fontId="6" fillId="3" borderId="0" xfId="0" applyNumberFormat="1" applyFont="1" applyFill="1" applyAlignment="1" applyProtection="1">
      <alignment vertical="top"/>
      <protection hidden="1"/>
    </xf>
    <xf numFmtId="164" fontId="15" fillId="3" borderId="2" xfId="4" applyNumberFormat="1" applyFont="1" applyFill="1" applyBorder="1" applyProtection="1">
      <protection hidden="1"/>
    </xf>
    <xf numFmtId="0" fontId="69" fillId="4" borderId="0" xfId="0" applyFont="1" applyFill="1" applyProtection="1">
      <protection hidden="1"/>
    </xf>
    <xf numFmtId="0" fontId="69" fillId="4" borderId="0" xfId="0" applyFont="1" applyFill="1" applyAlignment="1" applyProtection="1">
      <alignment horizontal="center"/>
      <protection hidden="1"/>
    </xf>
    <xf numFmtId="0" fontId="69" fillId="4" borderId="0" xfId="0" applyFont="1" applyFill="1" applyAlignment="1" applyProtection="1">
      <alignment horizontal="left"/>
      <protection hidden="1"/>
    </xf>
    <xf numFmtId="164" fontId="69" fillId="4" borderId="0" xfId="0" applyNumberFormat="1" applyFont="1" applyFill="1" applyProtection="1">
      <protection hidden="1"/>
    </xf>
    <xf numFmtId="164" fontId="69" fillId="4" borderId="0" xfId="0" applyNumberFormat="1" applyFont="1" applyFill="1" applyAlignment="1" applyProtection="1">
      <alignment horizontal="center"/>
      <protection hidden="1"/>
    </xf>
    <xf numFmtId="164" fontId="69" fillId="4" borderId="0" xfId="0" applyNumberFormat="1" applyFont="1" applyFill="1" applyAlignment="1" applyProtection="1">
      <alignment horizontal="left"/>
      <protection hidden="1"/>
    </xf>
    <xf numFmtId="164" fontId="69" fillId="4" borderId="0" xfId="4" applyNumberFormat="1" applyFont="1" applyFill="1" applyAlignment="1" applyProtection="1">
      <alignment horizontal="center" vertical="center"/>
      <protection hidden="1"/>
    </xf>
    <xf numFmtId="0" fontId="69" fillId="4" borderId="0" xfId="0" quotePrefix="1" applyFont="1" applyFill="1" applyAlignment="1" applyProtection="1">
      <alignment horizontal="left" vertical="top"/>
      <protection hidden="1"/>
    </xf>
    <xf numFmtId="164" fontId="69" fillId="4" borderId="0" xfId="4" applyNumberFormat="1" applyFont="1" applyFill="1" applyAlignment="1" applyProtection="1">
      <alignment horizontal="left" vertical="center"/>
      <protection hidden="1"/>
    </xf>
    <xf numFmtId="164" fontId="69" fillId="4" borderId="0" xfId="4" applyNumberFormat="1" applyFont="1" applyFill="1" applyAlignment="1" applyProtection="1">
      <alignment horizontal="center"/>
      <protection hidden="1"/>
    </xf>
    <xf numFmtId="164" fontId="69" fillId="4" borderId="0" xfId="4" applyNumberFormat="1" applyFont="1" applyFill="1" applyAlignment="1" applyProtection="1">
      <alignment horizontal="left"/>
      <protection hidden="1"/>
    </xf>
    <xf numFmtId="164" fontId="69" fillId="4" borderId="0" xfId="4" applyNumberFormat="1" applyFont="1" applyFill="1" applyProtection="1">
      <protection hidden="1"/>
    </xf>
    <xf numFmtId="164" fontId="70" fillId="4" borderId="0" xfId="0" applyNumberFormat="1" applyFont="1" applyFill="1" applyAlignment="1" applyProtection="1">
      <alignment horizontal="left"/>
      <protection hidden="1"/>
    </xf>
    <xf numFmtId="0" fontId="69" fillId="4" borderId="0" xfId="0" quotePrefix="1" applyFont="1" applyFill="1" applyAlignment="1" applyProtection="1">
      <alignment horizontal="center" vertical="center"/>
      <protection hidden="1"/>
    </xf>
    <xf numFmtId="0" fontId="70" fillId="4" borderId="0" xfId="0" applyFont="1" applyFill="1" applyAlignment="1" applyProtection="1">
      <alignment horizontal="left"/>
      <protection hidden="1"/>
    </xf>
    <xf numFmtId="0" fontId="71" fillId="4" borderId="0" xfId="0" applyFont="1" applyFill="1" applyAlignment="1" applyProtection="1">
      <alignment horizontal="center"/>
      <protection hidden="1"/>
    </xf>
    <xf numFmtId="0" fontId="69" fillId="4" borderId="0" xfId="0" quotePrefix="1" applyFont="1" applyFill="1" applyAlignment="1" applyProtection="1">
      <alignment horizontal="center"/>
      <protection hidden="1"/>
    </xf>
    <xf numFmtId="0" fontId="69" fillId="4" borderId="0" xfId="0" quotePrefix="1" applyFont="1" applyFill="1" applyAlignment="1" applyProtection="1">
      <alignment horizontal="left"/>
      <protection hidden="1"/>
    </xf>
    <xf numFmtId="0" fontId="71" fillId="4" borderId="0" xfId="0" applyFont="1" applyFill="1" applyAlignment="1" applyProtection="1">
      <alignment horizontal="center" vertical="center"/>
      <protection hidden="1"/>
    </xf>
    <xf numFmtId="0" fontId="71" fillId="4" borderId="0" xfId="0" applyFont="1" applyFill="1" applyAlignment="1" applyProtection="1">
      <alignment horizontal="left"/>
      <protection hidden="1"/>
    </xf>
    <xf numFmtId="164" fontId="71" fillId="4" borderId="0" xfId="0" applyNumberFormat="1" applyFont="1" applyFill="1" applyAlignment="1" applyProtection="1">
      <alignment horizontal="left"/>
      <protection hidden="1"/>
    </xf>
    <xf numFmtId="0" fontId="69" fillId="4" borderId="0" xfId="0" applyFont="1" applyFill="1" applyAlignment="1" applyProtection="1">
      <alignment horizontal="center" vertical="center"/>
      <protection hidden="1"/>
    </xf>
    <xf numFmtId="0" fontId="69" fillId="4" borderId="0" xfId="0" applyFont="1" applyFill="1" applyAlignment="1" applyProtection="1">
      <alignment horizontal="left" vertical="center"/>
      <protection hidden="1"/>
    </xf>
    <xf numFmtId="3" fontId="69" fillId="4" borderId="0" xfId="0" applyNumberFormat="1" applyFont="1" applyFill="1" applyAlignment="1" applyProtection="1">
      <alignment horizontal="center"/>
      <protection hidden="1"/>
    </xf>
    <xf numFmtId="167" fontId="69" fillId="4" borderId="0" xfId="4" applyNumberFormat="1" applyFont="1" applyFill="1" applyAlignment="1" applyProtection="1">
      <alignment horizontal="center"/>
      <protection hidden="1"/>
    </xf>
    <xf numFmtId="165" fontId="69" fillId="4" borderId="0" xfId="4" applyNumberFormat="1" applyFont="1" applyFill="1" applyAlignment="1" applyProtection="1">
      <alignment horizontal="center"/>
      <protection hidden="1"/>
    </xf>
    <xf numFmtId="3" fontId="71" fillId="4" borderId="0" xfId="5" applyNumberFormat="1" applyFont="1" applyFill="1" applyAlignment="1" applyProtection="1">
      <alignment horizontal="center"/>
      <protection hidden="1"/>
    </xf>
    <xf numFmtId="3" fontId="71" fillId="4" borderId="0" xfId="5" applyNumberFormat="1" applyFont="1" applyFill="1" applyAlignment="1" applyProtection="1">
      <alignment horizontal="left"/>
      <protection hidden="1"/>
    </xf>
    <xf numFmtId="3" fontId="69" fillId="4" borderId="0" xfId="5" applyNumberFormat="1" applyFont="1" applyFill="1" applyAlignment="1" applyProtection="1">
      <alignment horizontal="left"/>
      <protection hidden="1"/>
    </xf>
    <xf numFmtId="3" fontId="69" fillId="4" borderId="0" xfId="5" applyNumberFormat="1" applyFont="1" applyFill="1" applyAlignment="1" applyProtection="1">
      <alignment horizontal="center"/>
      <protection hidden="1"/>
    </xf>
    <xf numFmtId="164" fontId="69" fillId="4" borderId="0" xfId="0" applyNumberFormat="1" applyFont="1" applyFill="1" applyAlignment="1" applyProtection="1">
      <alignment horizontal="left" vertical="center"/>
      <protection hidden="1"/>
    </xf>
    <xf numFmtId="1" fontId="69" fillId="4" borderId="0" xfId="0" applyNumberFormat="1" applyFont="1" applyFill="1" applyAlignment="1" applyProtection="1">
      <alignment horizontal="center" vertical="center"/>
      <protection hidden="1"/>
    </xf>
    <xf numFmtId="168" fontId="69" fillId="4" borderId="0" xfId="1" applyNumberFormat="1" applyFont="1" applyFill="1" applyAlignment="1" applyProtection="1">
      <alignment horizontal="center" vertical="center"/>
      <protection hidden="1"/>
    </xf>
    <xf numFmtId="168" fontId="69" fillId="4" borderId="0" xfId="0" applyNumberFormat="1" applyFont="1" applyFill="1" applyAlignment="1" applyProtection="1">
      <alignment horizontal="center" vertical="center"/>
      <protection hidden="1"/>
    </xf>
    <xf numFmtId="168" fontId="69" fillId="4" borderId="0" xfId="1" applyNumberFormat="1" applyFont="1" applyFill="1" applyBorder="1" applyAlignment="1" applyProtection="1">
      <alignment horizontal="center"/>
      <protection hidden="1"/>
    </xf>
    <xf numFmtId="9" fontId="69" fillId="4" borderId="0" xfId="1" applyFont="1" applyFill="1" applyBorder="1" applyAlignment="1" applyProtection="1">
      <alignment horizontal="center"/>
      <protection hidden="1"/>
    </xf>
    <xf numFmtId="167" fontId="69" fillId="4" borderId="0" xfId="4" applyNumberFormat="1" applyFont="1" applyFill="1" applyAlignment="1" applyProtection="1">
      <alignment horizontal="left"/>
      <protection hidden="1"/>
    </xf>
    <xf numFmtId="1" fontId="69" fillId="4" borderId="0" xfId="4" applyNumberFormat="1" applyFont="1" applyFill="1" applyAlignment="1" applyProtection="1">
      <alignment horizontal="center"/>
      <protection hidden="1"/>
    </xf>
    <xf numFmtId="3" fontId="69" fillId="4" borderId="0" xfId="0" applyNumberFormat="1" applyFont="1" applyFill="1" applyAlignment="1" applyProtection="1">
      <alignment horizontal="left"/>
      <protection hidden="1"/>
    </xf>
    <xf numFmtId="2" fontId="69" fillId="4" borderId="0" xfId="0" applyNumberFormat="1" applyFont="1" applyFill="1" applyAlignment="1" applyProtection="1">
      <alignment horizontal="center" vertical="center"/>
      <protection hidden="1"/>
    </xf>
    <xf numFmtId="2" fontId="69" fillId="4" borderId="0" xfId="0" applyNumberFormat="1" applyFont="1" applyFill="1" applyAlignment="1" applyProtection="1">
      <alignment horizontal="center"/>
      <protection hidden="1"/>
    </xf>
    <xf numFmtId="169" fontId="69" fillId="4" borderId="0" xfId="0" applyNumberFormat="1" applyFont="1" applyFill="1" applyAlignment="1" applyProtection="1">
      <alignment horizontal="center"/>
      <protection hidden="1"/>
    </xf>
    <xf numFmtId="3" fontId="71" fillId="4" borderId="0" xfId="0" applyNumberFormat="1" applyFont="1" applyFill="1" applyAlignment="1" applyProtection="1">
      <alignment horizontal="center"/>
      <protection hidden="1"/>
    </xf>
    <xf numFmtId="3" fontId="71" fillId="4" borderId="0" xfId="0" applyNumberFormat="1" applyFont="1" applyFill="1" applyAlignment="1" applyProtection="1">
      <alignment horizontal="left"/>
      <protection hidden="1"/>
    </xf>
    <xf numFmtId="164" fontId="69" fillId="4" borderId="0" xfId="0" applyNumberFormat="1" applyFont="1" applyFill="1" applyAlignment="1" applyProtection="1">
      <alignment horizontal="center" vertical="center"/>
      <protection hidden="1"/>
    </xf>
    <xf numFmtId="0" fontId="69" fillId="4" borderId="0" xfId="0" quotePrefix="1" applyFont="1" applyFill="1" applyAlignment="1" applyProtection="1">
      <alignment horizontal="center" vertical="top"/>
      <protection hidden="1"/>
    </xf>
    <xf numFmtId="3" fontId="69" fillId="4" borderId="0" xfId="1" applyNumberFormat="1" applyFont="1" applyFill="1" applyBorder="1" applyAlignment="1" applyProtection="1">
      <alignment horizontal="left"/>
      <protection hidden="1"/>
    </xf>
    <xf numFmtId="3" fontId="69" fillId="4" borderId="0" xfId="1" applyNumberFormat="1" applyFont="1" applyFill="1" applyBorder="1" applyAlignment="1" applyProtection="1">
      <alignment horizontal="center"/>
      <protection hidden="1"/>
    </xf>
    <xf numFmtId="167" fontId="69" fillId="4" borderId="0" xfId="4" applyNumberFormat="1" applyFont="1" applyFill="1" applyAlignment="1" applyProtection="1">
      <alignment horizontal="left" vertical="center"/>
      <protection hidden="1"/>
    </xf>
    <xf numFmtId="9" fontId="69" fillId="4" borderId="0" xfId="1" applyFont="1" applyFill="1" applyAlignment="1" applyProtection="1">
      <alignment horizontal="center" vertical="center"/>
      <protection hidden="1"/>
    </xf>
    <xf numFmtId="0" fontId="69" fillId="4" borderId="0" xfId="0" applyFont="1" applyFill="1" applyAlignment="1" applyProtection="1">
      <alignment horizontal="center" vertical="top"/>
      <protection hidden="1"/>
    </xf>
    <xf numFmtId="170" fontId="69" fillId="4" borderId="0" xfId="0" applyNumberFormat="1" applyFont="1" applyFill="1" applyAlignment="1" applyProtection="1">
      <alignment horizontal="left"/>
      <protection hidden="1"/>
    </xf>
    <xf numFmtId="1" fontId="69" fillId="4" borderId="0" xfId="0" applyNumberFormat="1" applyFont="1" applyFill="1" applyAlignment="1" applyProtection="1">
      <alignment horizontal="center"/>
      <protection hidden="1"/>
    </xf>
    <xf numFmtId="0" fontId="69" fillId="3" borderId="0" xfId="0" applyFont="1" applyFill="1" applyProtection="1">
      <protection hidden="1"/>
    </xf>
    <xf numFmtId="0" fontId="69" fillId="3" borderId="0" xfId="0" applyFont="1" applyFill="1" applyAlignment="1" applyProtection="1">
      <alignment horizontal="center"/>
      <protection hidden="1"/>
    </xf>
    <xf numFmtId="0" fontId="69" fillId="3" borderId="0" xfId="0" applyFont="1" applyFill="1" applyAlignment="1" applyProtection="1">
      <alignment horizontal="left"/>
      <protection hidden="1"/>
    </xf>
    <xf numFmtId="164" fontId="69" fillId="3" borderId="0" xfId="0" applyNumberFormat="1" applyFont="1" applyFill="1" applyAlignment="1" applyProtection="1">
      <alignment horizontal="center"/>
      <protection hidden="1"/>
    </xf>
    <xf numFmtId="164" fontId="69" fillId="3" borderId="0" xfId="0" applyNumberFormat="1" applyFont="1" applyFill="1" applyAlignment="1" applyProtection="1">
      <alignment horizontal="left"/>
      <protection hidden="1"/>
    </xf>
    <xf numFmtId="164" fontId="69" fillId="3" borderId="0" xfId="0" applyNumberFormat="1" applyFont="1" applyFill="1" applyProtection="1">
      <protection hidden="1"/>
    </xf>
    <xf numFmtId="164" fontId="69" fillId="3" borderId="0" xfId="5" applyNumberFormat="1" applyFont="1" applyFill="1" applyAlignment="1" applyProtection="1">
      <alignment horizontal="center"/>
      <protection hidden="1"/>
    </xf>
    <xf numFmtId="164" fontId="69" fillId="3" borderId="0" xfId="5" applyNumberFormat="1" applyFont="1" applyFill="1" applyAlignment="1" applyProtection="1">
      <alignment horizontal="left"/>
      <protection hidden="1"/>
    </xf>
    <xf numFmtId="164" fontId="69" fillId="3" borderId="0" xfId="5" applyNumberFormat="1" applyFont="1" applyFill="1" applyAlignment="1" applyProtection="1">
      <alignment horizontal="center" vertical="center"/>
      <protection hidden="1"/>
    </xf>
    <xf numFmtId="3" fontId="69" fillId="3" borderId="0" xfId="1" applyNumberFormat="1" applyFont="1" applyFill="1" applyBorder="1" applyAlignment="1" applyProtection="1">
      <alignment horizontal="center"/>
      <protection hidden="1"/>
    </xf>
    <xf numFmtId="164" fontId="69" fillId="3" borderId="0" xfId="4" applyNumberFormat="1" applyFont="1" applyFill="1" applyAlignment="1" applyProtection="1">
      <alignment horizontal="center" vertical="center"/>
      <protection hidden="1"/>
    </xf>
    <xf numFmtId="164" fontId="69" fillId="3" borderId="0" xfId="4" applyNumberFormat="1" applyFont="1" applyFill="1" applyAlignment="1" applyProtection="1">
      <alignment horizontal="left" vertical="center"/>
      <protection hidden="1"/>
    </xf>
    <xf numFmtId="164" fontId="69" fillId="3" borderId="0" xfId="4" applyNumberFormat="1" applyFont="1" applyFill="1" applyAlignment="1" applyProtection="1">
      <alignment horizontal="left" vertical="top"/>
      <protection hidden="1"/>
    </xf>
    <xf numFmtId="164" fontId="69" fillId="3" borderId="0" xfId="4" applyNumberFormat="1" applyFont="1" applyFill="1" applyAlignment="1" applyProtection="1">
      <alignment horizontal="center" vertical="top"/>
      <protection hidden="1"/>
    </xf>
    <xf numFmtId="164" fontId="67" fillId="6" borderId="42" xfId="2" applyNumberFormat="1" applyFont="1" applyFill="1" applyBorder="1" applyAlignment="1" applyProtection="1">
      <alignment horizontal="center"/>
      <protection hidden="1"/>
    </xf>
    <xf numFmtId="9" fontId="67" fillId="6" borderId="45" xfId="1" applyFont="1" applyFill="1" applyBorder="1" applyAlignment="1" applyProtection="1">
      <alignment horizontal="center"/>
      <protection hidden="1"/>
    </xf>
    <xf numFmtId="164" fontId="67" fillId="6" borderId="42" xfId="2" applyNumberFormat="1" applyFont="1" applyFill="1" applyBorder="1" applyAlignment="1" applyProtection="1">
      <protection hidden="1"/>
    </xf>
    <xf numFmtId="9" fontId="67" fillId="6" borderId="44" xfId="1" applyFont="1" applyFill="1" applyBorder="1" applyAlignment="1" applyProtection="1">
      <alignment horizontal="center"/>
      <protection hidden="1"/>
    </xf>
    <xf numFmtId="169" fontId="67" fillId="6" borderId="43" xfId="2" applyNumberFormat="1" applyFont="1" applyFill="1" applyBorder="1" applyAlignment="1" applyProtection="1">
      <alignment horizontal="center"/>
      <protection hidden="1"/>
    </xf>
    <xf numFmtId="169" fontId="67" fillId="6" borderId="47" xfId="2" applyNumberFormat="1" applyFont="1" applyFill="1" applyBorder="1" applyAlignment="1" applyProtection="1">
      <alignment horizontal="center"/>
      <protection hidden="1"/>
    </xf>
    <xf numFmtId="9" fontId="67" fillId="6" borderId="48" xfId="1" applyFont="1" applyFill="1" applyBorder="1" applyAlignment="1" applyProtection="1">
      <alignment horizontal="center"/>
      <protection hidden="1"/>
    </xf>
    <xf numFmtId="164" fontId="67" fillId="6" borderId="46" xfId="2" applyNumberFormat="1" applyFont="1" applyFill="1" applyBorder="1" applyAlignment="1" applyProtection="1">
      <protection hidden="1"/>
    </xf>
    <xf numFmtId="164" fontId="67" fillId="6" borderId="37" xfId="2" applyNumberFormat="1" applyFont="1" applyFill="1" applyBorder="1" applyAlignment="1" applyProtection="1">
      <alignment horizontal="center"/>
      <protection hidden="1"/>
    </xf>
    <xf numFmtId="164" fontId="67" fillId="6" borderId="49" xfId="2" applyNumberFormat="1" applyFont="1" applyFill="1" applyBorder="1" applyAlignment="1" applyProtection="1">
      <alignment horizontal="center"/>
      <protection hidden="1"/>
    </xf>
    <xf numFmtId="9" fontId="67" fillId="6" borderId="50" xfId="1" applyFont="1" applyFill="1" applyBorder="1" applyAlignment="1" applyProtection="1">
      <alignment horizontal="center"/>
      <protection hidden="1"/>
    </xf>
    <xf numFmtId="0" fontId="5" fillId="3" borderId="0" xfId="0" applyFont="1" applyFill="1" applyProtection="1">
      <protection locked="0" hidden="1"/>
    </xf>
    <xf numFmtId="164" fontId="52" fillId="3" borderId="0" xfId="0" applyNumberFormat="1" applyFont="1" applyFill="1" applyAlignment="1" applyProtection="1">
      <alignment vertical="center"/>
      <protection hidden="1"/>
    </xf>
    <xf numFmtId="164" fontId="52" fillId="3" borderId="7" xfId="0" applyNumberFormat="1" applyFont="1" applyFill="1" applyBorder="1" applyAlignment="1" applyProtection="1">
      <alignment vertical="center"/>
      <protection hidden="1"/>
    </xf>
    <xf numFmtId="164" fontId="52" fillId="3" borderId="33" xfId="0" applyNumberFormat="1" applyFont="1" applyFill="1" applyBorder="1" applyAlignment="1" applyProtection="1">
      <alignment vertical="center"/>
      <protection hidden="1"/>
    </xf>
    <xf numFmtId="164" fontId="52" fillId="3" borderId="2" xfId="0" applyNumberFormat="1" applyFont="1" applyFill="1" applyBorder="1" applyAlignment="1" applyProtection="1">
      <alignment horizontal="right" vertical="center"/>
      <protection hidden="1"/>
    </xf>
    <xf numFmtId="164" fontId="52" fillId="3" borderId="63" xfId="0" applyNumberFormat="1" applyFont="1" applyFill="1" applyBorder="1" applyAlignment="1" applyProtection="1">
      <alignment horizontal="right" vertical="center"/>
      <protection hidden="1"/>
    </xf>
    <xf numFmtId="164" fontId="52" fillId="3" borderId="2" xfId="0" applyNumberFormat="1" applyFont="1" applyFill="1" applyBorder="1" applyAlignment="1" applyProtection="1">
      <alignment vertical="center"/>
      <protection hidden="1"/>
    </xf>
    <xf numFmtId="164" fontId="52" fillId="3" borderId="63" xfId="0" applyNumberFormat="1" applyFont="1" applyFill="1" applyBorder="1" applyAlignment="1" applyProtection="1">
      <alignment vertical="center"/>
      <protection hidden="1"/>
    </xf>
    <xf numFmtId="164" fontId="52" fillId="3" borderId="8" xfId="0" applyNumberFormat="1" applyFont="1" applyFill="1" applyBorder="1" applyAlignment="1" applyProtection="1">
      <alignment horizontal="right" vertical="center"/>
      <protection hidden="1"/>
    </xf>
    <xf numFmtId="164" fontId="52" fillId="3" borderId="9" xfId="0" applyNumberFormat="1" applyFont="1" applyFill="1" applyBorder="1" applyAlignment="1" applyProtection="1">
      <alignment horizontal="right" vertical="center"/>
      <protection hidden="1"/>
    </xf>
    <xf numFmtId="164" fontId="52" fillId="3" borderId="10" xfId="0" applyNumberFormat="1" applyFont="1" applyFill="1" applyBorder="1" applyAlignment="1" applyProtection="1">
      <alignment horizontal="right" vertical="center"/>
      <protection hidden="1"/>
    </xf>
    <xf numFmtId="164" fontId="52" fillId="3" borderId="3" xfId="0" applyNumberFormat="1" applyFont="1" applyFill="1" applyBorder="1" applyAlignment="1" applyProtection="1">
      <alignment horizontal="center"/>
      <protection hidden="1"/>
    </xf>
    <xf numFmtId="164" fontId="52" fillId="3" borderId="4" xfId="0" applyNumberFormat="1" applyFont="1" applyFill="1" applyBorder="1" applyAlignment="1" applyProtection="1">
      <alignment horizontal="center"/>
      <protection hidden="1"/>
    </xf>
    <xf numFmtId="164" fontId="52" fillId="3" borderId="5" xfId="0" applyNumberFormat="1" applyFont="1" applyFill="1" applyBorder="1" applyAlignment="1" applyProtection="1">
      <alignment horizontal="center"/>
      <protection hidden="1"/>
    </xf>
    <xf numFmtId="164" fontId="50" fillId="3" borderId="56" xfId="4" applyNumberFormat="1" applyFont="1" applyFill="1" applyBorder="1" applyAlignment="1" applyProtection="1">
      <alignment horizontal="center"/>
      <protection hidden="1"/>
    </xf>
    <xf numFmtId="164" fontId="50" fillId="3" borderId="9" xfId="4" applyNumberFormat="1" applyFont="1" applyFill="1" applyBorder="1" applyAlignment="1" applyProtection="1">
      <alignment horizontal="center"/>
      <protection hidden="1"/>
    </xf>
    <xf numFmtId="164" fontId="50" fillId="3" borderId="57" xfId="4" applyNumberFormat="1" applyFont="1" applyFill="1" applyBorder="1" applyAlignment="1" applyProtection="1">
      <alignment horizontal="center"/>
      <protection hidden="1"/>
    </xf>
    <xf numFmtId="164" fontId="52" fillId="3" borderId="6" xfId="0" applyNumberFormat="1" applyFont="1" applyFill="1" applyBorder="1" applyAlignment="1" applyProtection="1">
      <alignment horizontal="right" vertical="center"/>
      <protection hidden="1"/>
    </xf>
    <xf numFmtId="164" fontId="52" fillId="3" borderId="0" xfId="0" applyNumberFormat="1" applyFont="1" applyFill="1" applyAlignment="1" applyProtection="1">
      <alignment horizontal="right" vertical="center"/>
      <protection hidden="1"/>
    </xf>
    <xf numFmtId="164" fontId="52" fillId="3" borderId="7" xfId="0" applyNumberFormat="1" applyFont="1" applyFill="1" applyBorder="1" applyAlignment="1" applyProtection="1">
      <alignment horizontal="right" vertical="center"/>
      <protection hidden="1"/>
    </xf>
    <xf numFmtId="164" fontId="52" fillId="3" borderId="3" xfId="0" applyNumberFormat="1" applyFont="1" applyFill="1" applyBorder="1" applyAlignment="1" applyProtection="1">
      <alignment horizontal="right" vertical="center"/>
      <protection hidden="1"/>
    </xf>
    <xf numFmtId="164" fontId="52" fillId="3" borderId="4" xfId="0" applyNumberFormat="1" applyFont="1" applyFill="1" applyBorder="1" applyAlignment="1" applyProtection="1">
      <alignment horizontal="right" vertical="center"/>
      <protection hidden="1"/>
    </xf>
    <xf numFmtId="164" fontId="52" fillId="3" borderId="5" xfId="0" applyNumberFormat="1" applyFont="1" applyFill="1" applyBorder="1" applyAlignment="1" applyProtection="1">
      <alignment horizontal="right" vertical="center"/>
      <protection hidden="1"/>
    </xf>
    <xf numFmtId="167" fontId="52" fillId="3" borderId="9" xfId="4" applyNumberFormat="1" applyFont="1" applyFill="1" applyBorder="1" applyAlignment="1" applyProtection="1">
      <alignment horizontal="center" vertical="center"/>
      <protection hidden="1"/>
    </xf>
    <xf numFmtId="167" fontId="52" fillId="3" borderId="20" xfId="4" applyNumberFormat="1" applyFont="1" applyFill="1" applyBorder="1" applyAlignment="1" applyProtection="1">
      <alignment horizontal="center" vertical="center"/>
      <protection hidden="1"/>
    </xf>
    <xf numFmtId="164" fontId="22" fillId="3" borderId="2" xfId="4" applyNumberFormat="1" applyFont="1" applyFill="1" applyBorder="1" applyAlignment="1" applyProtection="1">
      <alignment horizontal="center"/>
      <protection hidden="1"/>
    </xf>
    <xf numFmtId="0" fontId="54" fillId="3" borderId="14" xfId="0" applyFont="1" applyFill="1" applyBorder="1" applyAlignment="1" applyProtection="1">
      <alignment horizontal="center"/>
      <protection hidden="1"/>
    </xf>
    <xf numFmtId="0" fontId="54" fillId="3" borderId="18" xfId="0" applyFont="1" applyFill="1" applyBorder="1" applyAlignment="1" applyProtection="1">
      <alignment horizontal="center"/>
      <protection hidden="1"/>
    </xf>
    <xf numFmtId="164" fontId="54" fillId="3" borderId="14" xfId="4" applyNumberFormat="1" applyFont="1" applyFill="1" applyBorder="1" applyAlignment="1" applyProtection="1">
      <alignment horizontal="center"/>
      <protection hidden="1"/>
    </xf>
    <xf numFmtId="164" fontId="55" fillId="3" borderId="19" xfId="0" applyNumberFormat="1" applyFont="1" applyFill="1" applyBorder="1" applyAlignment="1" applyProtection="1">
      <alignment horizontal="center"/>
      <protection hidden="1"/>
    </xf>
    <xf numFmtId="164" fontId="55" fillId="3" borderId="0" xfId="0" applyNumberFormat="1" applyFont="1" applyFill="1" applyAlignment="1" applyProtection="1">
      <alignment horizontal="center"/>
      <protection hidden="1"/>
    </xf>
    <xf numFmtId="164" fontId="56" fillId="0" borderId="0" xfId="4" applyNumberFormat="1" applyFont="1" applyAlignment="1" applyProtection="1">
      <alignment horizontal="center"/>
      <protection hidden="1"/>
    </xf>
    <xf numFmtId="0" fontId="54" fillId="3" borderId="17" xfId="0" applyFont="1" applyFill="1" applyBorder="1" applyAlignment="1" applyProtection="1">
      <alignment horizontal="center"/>
      <protection hidden="1"/>
    </xf>
    <xf numFmtId="164" fontId="9" fillId="3" borderId="0" xfId="4" applyNumberFormat="1" applyFont="1" applyFill="1" applyAlignment="1" applyProtection="1">
      <alignment horizontal="left"/>
      <protection hidden="1"/>
    </xf>
    <xf numFmtId="164" fontId="50" fillId="3" borderId="0" xfId="4" applyNumberFormat="1" applyFont="1" applyFill="1" applyAlignment="1" applyProtection="1">
      <alignment horizontal="center"/>
      <protection hidden="1"/>
    </xf>
    <xf numFmtId="164" fontId="50" fillId="3" borderId="2" xfId="4" applyNumberFormat="1" applyFont="1" applyFill="1" applyBorder="1" applyAlignment="1" applyProtection="1">
      <alignment horizontal="center"/>
      <protection hidden="1"/>
    </xf>
    <xf numFmtId="0" fontId="57" fillId="3" borderId="14" xfId="0" applyFont="1" applyFill="1" applyBorder="1" applyAlignment="1" applyProtection="1">
      <alignment horizontal="center"/>
      <protection hidden="1"/>
    </xf>
    <xf numFmtId="0" fontId="57" fillId="3" borderId="17" xfId="0" applyFont="1" applyFill="1" applyBorder="1" applyAlignment="1" applyProtection="1">
      <alignment horizontal="center"/>
      <protection hidden="1"/>
    </xf>
    <xf numFmtId="164" fontId="29" fillId="3" borderId="0" xfId="0" applyNumberFormat="1" applyFont="1" applyFill="1" applyProtection="1">
      <protection hidden="1"/>
    </xf>
    <xf numFmtId="164" fontId="15" fillId="5" borderId="2" xfId="0" applyNumberFormat="1" applyFont="1" applyFill="1" applyBorder="1" applyProtection="1">
      <protection hidden="1"/>
    </xf>
    <xf numFmtId="164" fontId="15" fillId="5" borderId="2" xfId="0" applyNumberFormat="1" applyFont="1" applyFill="1" applyBorder="1" applyAlignment="1" applyProtection="1">
      <alignment horizontal="right"/>
      <protection hidden="1"/>
    </xf>
    <xf numFmtId="164" fontId="29" fillId="3" borderId="0" xfId="4" applyNumberFormat="1" applyFont="1" applyFill="1" applyProtection="1">
      <protection hidden="1"/>
    </xf>
    <xf numFmtId="164" fontId="29" fillId="3" borderId="0" xfId="4" applyNumberFormat="1" applyFont="1" applyFill="1" applyAlignment="1" applyProtection="1">
      <alignment horizontal="right"/>
      <protection hidden="1"/>
    </xf>
    <xf numFmtId="164" fontId="15" fillId="5" borderId="2" xfId="1" applyNumberFormat="1" applyFont="1" applyFill="1" applyBorder="1" applyAlignment="1" applyProtection="1">
      <protection hidden="1"/>
    </xf>
    <xf numFmtId="164" fontId="29" fillId="3" borderId="0" xfId="0" applyNumberFormat="1" applyFont="1" applyFill="1" applyAlignment="1" applyProtection="1">
      <alignment horizontal="right"/>
      <protection hidden="1"/>
    </xf>
    <xf numFmtId="164" fontId="15" fillId="5" borderId="0" xfId="0" applyNumberFormat="1" applyFont="1" applyFill="1" applyProtection="1">
      <protection hidden="1"/>
    </xf>
    <xf numFmtId="172" fontId="15" fillId="5" borderId="0" xfId="0" applyNumberFormat="1" applyFont="1" applyFill="1" applyAlignment="1" applyProtection="1">
      <alignment horizontal="right"/>
      <protection hidden="1"/>
    </xf>
    <xf numFmtId="164" fontId="15" fillId="3" borderId="13" xfId="0" applyNumberFormat="1" applyFont="1" applyFill="1" applyBorder="1" applyProtection="1">
      <protection hidden="1"/>
    </xf>
    <xf numFmtId="164" fontId="15" fillId="3" borderId="9" xfId="4" applyNumberFormat="1" applyFont="1" applyFill="1" applyBorder="1" applyProtection="1">
      <protection hidden="1"/>
    </xf>
    <xf numFmtId="164" fontId="34" fillId="5" borderId="0" xfId="0" applyNumberFormat="1" applyFont="1" applyFill="1" applyProtection="1">
      <protection hidden="1"/>
    </xf>
    <xf numFmtId="164" fontId="15" fillId="5" borderId="9" xfId="4" applyNumberFormat="1" applyFont="1" applyFill="1" applyBorder="1" applyProtection="1">
      <protection hidden="1"/>
    </xf>
    <xf numFmtId="164" fontId="15" fillId="3" borderId="0" xfId="4" applyNumberFormat="1" applyFont="1" applyFill="1" applyProtection="1">
      <protection hidden="1"/>
    </xf>
    <xf numFmtId="167" fontId="11" fillId="3" borderId="0" xfId="4" applyNumberFormat="1" applyFont="1" applyFill="1" applyAlignment="1" applyProtection="1">
      <alignment horizontal="center"/>
      <protection hidden="1"/>
    </xf>
    <xf numFmtId="164" fontId="15" fillId="5" borderId="6" xfId="5" applyNumberFormat="1" applyFont="1" applyFill="1" applyBorder="1" applyAlignment="1" applyProtection="1">
      <alignment horizontal="left" vertical="center" indent="1"/>
      <protection hidden="1"/>
    </xf>
    <xf numFmtId="164" fontId="15" fillId="5" borderId="0" xfId="5" applyNumberFormat="1" applyFont="1" applyFill="1" applyAlignment="1" applyProtection="1">
      <alignment horizontal="left" vertical="center" indent="1"/>
      <protection hidden="1"/>
    </xf>
    <xf numFmtId="176" fontId="11" fillId="4" borderId="0" xfId="5" applyNumberFormat="1" applyFont="1" applyFill="1" applyAlignment="1" applyProtection="1">
      <alignment horizontal="center" vertical="center"/>
      <protection hidden="1"/>
    </xf>
    <xf numFmtId="177" fontId="11" fillId="4" borderId="0" xfId="5" applyNumberFormat="1" applyFont="1" applyFill="1" applyAlignment="1" applyProtection="1">
      <alignment horizontal="center" vertical="center"/>
      <protection hidden="1"/>
    </xf>
    <xf numFmtId="164" fontId="17" fillId="3" borderId="4" xfId="5" applyNumberFormat="1" applyFont="1" applyFill="1" applyBorder="1" applyAlignment="1" applyProtection="1">
      <alignment horizontal="left" vertical="center"/>
      <protection hidden="1"/>
    </xf>
    <xf numFmtId="164" fontId="17" fillId="3" borderId="0" xfId="5" applyNumberFormat="1" applyFont="1" applyFill="1" applyAlignment="1" applyProtection="1">
      <alignment horizontal="left" vertical="center"/>
      <protection hidden="1"/>
    </xf>
    <xf numFmtId="164" fontId="32" fillId="3" borderId="0" xfId="5" applyNumberFormat="1" applyFont="1" applyFill="1" applyAlignment="1" applyProtection="1">
      <alignment horizontal="left" vertical="center"/>
      <protection hidden="1"/>
    </xf>
    <xf numFmtId="164" fontId="15" fillId="4" borderId="0" xfId="5" applyNumberFormat="1" applyFont="1" applyFill="1" applyAlignment="1" applyProtection="1">
      <alignment horizontal="center" vertical="center"/>
      <protection hidden="1"/>
    </xf>
    <xf numFmtId="164" fontId="15" fillId="4" borderId="2" xfId="5" applyNumberFormat="1" applyFont="1" applyFill="1" applyBorder="1" applyAlignment="1" applyProtection="1">
      <alignment horizontal="center" vertical="center"/>
      <protection hidden="1"/>
    </xf>
    <xf numFmtId="164" fontId="15" fillId="4" borderId="0" xfId="5" applyNumberFormat="1" applyFont="1" applyFill="1" applyAlignment="1" applyProtection="1">
      <alignment horizontal="left" vertical="center" indent="1"/>
      <protection hidden="1"/>
    </xf>
    <xf numFmtId="164" fontId="15" fillId="4" borderId="7" xfId="5" applyNumberFormat="1" applyFont="1" applyFill="1" applyBorder="1" applyAlignment="1" applyProtection="1">
      <alignment horizontal="left" vertical="center" indent="1"/>
      <protection hidden="1"/>
    </xf>
    <xf numFmtId="172" fontId="15" fillId="5" borderId="6" xfId="5" applyNumberFormat="1" applyFont="1" applyFill="1" applyBorder="1" applyAlignment="1" applyProtection="1">
      <alignment horizontal="left" vertical="center" indent="1"/>
      <protection hidden="1"/>
    </xf>
    <xf numFmtId="172" fontId="15" fillId="5" borderId="0" xfId="5" applyNumberFormat="1" applyFont="1" applyFill="1" applyAlignment="1" applyProtection="1">
      <alignment horizontal="left" vertical="center" indent="1"/>
      <protection hidden="1"/>
    </xf>
    <xf numFmtId="172" fontId="15" fillId="5" borderId="0" xfId="0" applyNumberFormat="1" applyFont="1" applyFill="1" applyAlignment="1" applyProtection="1">
      <alignment horizontal="center" vertical="center"/>
      <protection hidden="1"/>
    </xf>
    <xf numFmtId="164" fontId="15" fillId="4" borderId="0" xfId="4" applyNumberFormat="1" applyFont="1" applyFill="1" applyAlignment="1" applyProtection="1">
      <alignment horizontal="center" vertical="center"/>
      <protection hidden="1"/>
    </xf>
    <xf numFmtId="172" fontId="11" fillId="5" borderId="0" xfId="5" applyNumberFormat="1" applyFont="1" applyFill="1" applyAlignment="1" applyProtection="1">
      <alignment horizontal="center" vertical="center"/>
      <protection hidden="1"/>
    </xf>
    <xf numFmtId="164" fontId="15" fillId="5" borderId="7" xfId="5" applyNumberFormat="1" applyFont="1" applyFill="1" applyBorder="1" applyAlignment="1" applyProtection="1">
      <alignment horizontal="center" vertical="center"/>
      <protection hidden="1"/>
    </xf>
    <xf numFmtId="170" fontId="15" fillId="5" borderId="0" xfId="5" applyNumberFormat="1" applyFont="1" applyFill="1" applyAlignment="1" applyProtection="1">
      <alignment horizontal="center" vertical="center"/>
      <protection hidden="1"/>
    </xf>
    <xf numFmtId="164" fontId="15" fillId="4" borderId="0" xfId="5" applyNumberFormat="1" applyFont="1" applyFill="1" applyAlignment="1" applyProtection="1">
      <alignment horizontal="center" vertical="top"/>
      <protection hidden="1"/>
    </xf>
    <xf numFmtId="172" fontId="13" fillId="5" borderId="0" xfId="5" applyNumberFormat="1" applyFont="1" applyFill="1" applyAlignment="1" applyProtection="1">
      <alignment horizontal="center" vertical="center"/>
      <protection hidden="1"/>
    </xf>
    <xf numFmtId="164" fontId="15" fillId="4" borderId="0" xfId="5" applyNumberFormat="1" applyFont="1" applyFill="1" applyAlignment="1" applyProtection="1">
      <alignment horizontal="center"/>
      <protection hidden="1"/>
    </xf>
    <xf numFmtId="164" fontId="15" fillId="4" borderId="2" xfId="5" applyNumberFormat="1" applyFont="1" applyFill="1" applyBorder="1" applyAlignment="1" applyProtection="1">
      <alignment horizontal="center"/>
      <protection hidden="1"/>
    </xf>
    <xf numFmtId="0" fontId="1" fillId="3" borderId="0" xfId="0" applyFont="1" applyFill="1" applyAlignment="1" applyProtection="1">
      <alignment horizontal="left" vertical="center"/>
      <protection hidden="1"/>
    </xf>
    <xf numFmtId="164" fontId="33" fillId="3" borderId="0" xfId="5" applyNumberFormat="1" applyFont="1" applyFill="1" applyAlignment="1" applyProtection="1">
      <alignment horizontal="center"/>
      <protection hidden="1"/>
    </xf>
    <xf numFmtId="164" fontId="32" fillId="3" borderId="0" xfId="5" applyNumberFormat="1" applyFont="1" applyFill="1" applyAlignment="1" applyProtection="1">
      <alignment horizontal="center"/>
      <protection hidden="1"/>
    </xf>
    <xf numFmtId="164" fontId="32" fillId="3" borderId="0" xfId="5" applyNumberFormat="1" applyFont="1" applyFill="1" applyAlignment="1" applyProtection="1">
      <alignment horizontal="left" indent="1"/>
      <protection hidden="1"/>
    </xf>
    <xf numFmtId="164" fontId="32" fillId="3" borderId="6" xfId="5" applyNumberFormat="1" applyFont="1" applyFill="1" applyBorder="1" applyAlignment="1" applyProtection="1">
      <alignment horizontal="center" vertical="center"/>
      <protection hidden="1"/>
    </xf>
    <xf numFmtId="164" fontId="32" fillId="3" borderId="8" xfId="5" applyNumberFormat="1" applyFont="1" applyFill="1" applyBorder="1" applyAlignment="1" applyProtection="1">
      <alignment horizontal="center" vertical="center"/>
      <protection hidden="1"/>
    </xf>
    <xf numFmtId="164" fontId="32" fillId="3" borderId="0" xfId="5" applyNumberFormat="1" applyFont="1" applyFill="1" applyAlignment="1" applyProtection="1">
      <alignment horizontal="center" vertical="center"/>
      <protection hidden="1"/>
    </xf>
    <xf numFmtId="164" fontId="32" fillId="3" borderId="9" xfId="5" applyNumberFormat="1" applyFont="1" applyFill="1" applyBorder="1" applyAlignment="1" applyProtection="1">
      <alignment horizontal="center" vertical="center"/>
      <protection hidden="1"/>
    </xf>
    <xf numFmtId="164" fontId="15" fillId="4" borderId="0" xfId="5" quotePrefix="1" applyNumberFormat="1" applyFont="1" applyFill="1" applyAlignment="1" applyProtection="1">
      <alignment horizontal="left" vertical="center" indent="1"/>
      <protection hidden="1"/>
    </xf>
    <xf numFmtId="164" fontId="15" fillId="4" borderId="7" xfId="5" quotePrefix="1" applyNumberFormat="1" applyFont="1" applyFill="1" applyBorder="1" applyAlignment="1" applyProtection="1">
      <alignment horizontal="left" vertical="center" indent="1"/>
      <protection hidden="1"/>
    </xf>
    <xf numFmtId="164" fontId="15" fillId="4" borderId="0" xfId="5" quotePrefix="1" applyNumberFormat="1" applyFont="1" applyFill="1" applyAlignment="1" applyProtection="1">
      <alignment horizontal="center" vertical="center"/>
      <protection hidden="1"/>
    </xf>
    <xf numFmtId="164" fontId="15" fillId="4" borderId="2" xfId="5" quotePrefix="1" applyNumberFormat="1" applyFont="1" applyFill="1" applyBorder="1" applyAlignment="1" applyProtection="1">
      <alignment horizontal="center" vertical="center"/>
      <protection hidden="1"/>
    </xf>
    <xf numFmtId="173" fontId="11" fillId="4" borderId="7" xfId="1" applyNumberFormat="1" applyFont="1" applyFill="1" applyBorder="1" applyAlignment="1" applyProtection="1">
      <alignment horizontal="center"/>
      <protection hidden="1"/>
    </xf>
    <xf numFmtId="166" fontId="11" fillId="5" borderId="7" xfId="1" applyNumberFormat="1" applyFont="1" applyFill="1" applyBorder="1" applyAlignment="1" applyProtection="1">
      <alignment horizontal="center" vertical="center"/>
      <protection hidden="1"/>
    </xf>
    <xf numFmtId="164" fontId="15" fillId="4" borderId="6" xfId="5" applyNumberFormat="1" applyFont="1" applyFill="1" applyBorder="1" applyAlignment="1" applyProtection="1">
      <alignment horizontal="left" vertical="center" indent="1"/>
      <protection hidden="1"/>
    </xf>
    <xf numFmtId="164" fontId="11" fillId="4" borderId="7" xfId="1" applyNumberFormat="1" applyFont="1" applyFill="1" applyBorder="1" applyAlignment="1" applyProtection="1">
      <alignment horizontal="center"/>
      <protection hidden="1"/>
    </xf>
    <xf numFmtId="173" fontId="15" fillId="4" borderId="7" xfId="1" applyNumberFormat="1" applyFont="1" applyFill="1" applyBorder="1" applyAlignment="1" applyProtection="1">
      <alignment horizontal="center" vertical="center"/>
      <protection hidden="1"/>
    </xf>
    <xf numFmtId="172" fontId="11" fillId="5" borderId="7" xfId="5" applyNumberFormat="1" applyFont="1" applyFill="1" applyBorder="1" applyAlignment="1" applyProtection="1">
      <alignment horizontal="center" vertical="center"/>
      <protection hidden="1"/>
    </xf>
    <xf numFmtId="175" fontId="15" fillId="4" borderId="7" xfId="1" applyNumberFormat="1" applyFont="1" applyFill="1" applyBorder="1" applyAlignment="1" applyProtection="1">
      <alignment horizontal="center" vertical="center"/>
      <protection hidden="1"/>
    </xf>
    <xf numFmtId="164" fontId="15" fillId="4" borderId="7" xfId="1" applyNumberFormat="1" applyFont="1" applyFill="1" applyBorder="1" applyAlignment="1" applyProtection="1">
      <alignment horizontal="center" vertical="center"/>
      <protection hidden="1"/>
    </xf>
    <xf numFmtId="0" fontId="26" fillId="3" borderId="0" xfId="0" applyFont="1" applyFill="1" applyAlignment="1" applyProtection="1">
      <alignment horizontal="left" vertical="center"/>
      <protection hidden="1"/>
    </xf>
    <xf numFmtId="9" fontId="12" fillId="3" borderId="0" xfId="1" applyFont="1" applyFill="1" applyBorder="1" applyAlignment="1" applyProtection="1">
      <alignment horizontal="center" vertical="center"/>
      <protection hidden="1"/>
    </xf>
    <xf numFmtId="165" fontId="11" fillId="3" borderId="0" xfId="4" applyNumberFormat="1" applyFont="1" applyFill="1" applyAlignment="1" applyProtection="1">
      <alignment horizontal="center" vertical="center"/>
      <protection hidden="1"/>
    </xf>
    <xf numFmtId="164" fontId="15" fillId="5" borderId="0" xfId="0" applyNumberFormat="1" applyFont="1" applyFill="1" applyAlignment="1" applyProtection="1">
      <alignment horizontal="left" vertical="center" indent="1"/>
      <protection hidden="1"/>
    </xf>
  </cellXfs>
  <cellStyles count="8">
    <cellStyle name="Comma 2" xfId="6" xr:uid="{8B929480-1FBB-42E7-8C67-D730BF2510C8}"/>
    <cellStyle name="Hyperlink" xfId="3" builtinId="8"/>
    <cellStyle name="Normal" xfId="0" builtinId="0"/>
    <cellStyle name="Normal 2 2" xfId="4" xr:uid="{D83F67F7-2770-4AE8-9B8D-1DE81CFB4E58}"/>
    <cellStyle name="Normal 2 2 3" xfId="7" xr:uid="{E116EA7E-1A53-4148-AA57-429A35DB3B40}"/>
    <cellStyle name="Normal 3 2" xfId="5" xr:uid="{ACE6CA6C-A9EC-46F9-B57B-05009BBD1125}"/>
    <cellStyle name="Note" xfId="2" builtinId="10"/>
    <cellStyle name="Percent" xfId="1" builtinId="5"/>
  </cellStyles>
  <dxfs count="19">
    <dxf>
      <fill>
        <patternFill>
          <bgColor theme="0"/>
        </patternFill>
      </fill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/>
        </patternFill>
      </fill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/>
        </patternFill>
      </fill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/>
        </patternFill>
      </fill>
      <border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theme="0"/>
        </patternFill>
      </fill>
      <border>
        <left/>
        <right/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/>
        </patternFill>
      </fill>
      <border>
        <left/>
        <right/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/>
        </patternFill>
      </fill>
      <border>
        <left style="thin">
          <color theme="1"/>
        </left>
        <right/>
        <top style="thin">
          <color theme="1"/>
        </top>
        <bottom style="thin">
          <color theme="1"/>
        </bottom>
        <vertical/>
        <horizontal/>
      </border>
    </dxf>
    <dxf>
      <fill>
        <patternFill>
          <bgColor theme="0"/>
        </patternFill>
      </fill>
      <border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/>
        </patternFill>
      </fill>
      <border>
        <left style="thin">
          <color theme="1"/>
        </left>
        <right/>
        <top style="thin">
          <color theme="1"/>
        </top>
        <bottom style="thin">
          <color theme="1"/>
        </bottom>
        <vertical/>
        <horizontal/>
      </border>
    </dxf>
    <dxf>
      <font>
        <color rgb="FFFF0000"/>
      </font>
      <fill>
        <patternFill>
          <bgColor theme="5" tint="0.79998168889431442"/>
        </patternFill>
      </fill>
    </dxf>
    <dxf>
      <font>
        <b/>
        <i val="0"/>
        <color rgb="FFC00000"/>
      </font>
      <border>
        <vertical/>
        <horizontal/>
      </border>
    </dxf>
    <dxf>
      <font>
        <color rgb="FFFF0000"/>
      </font>
      <fill>
        <patternFill>
          <bgColor theme="5" tint="0.79998168889431442"/>
        </patternFill>
      </fill>
    </dxf>
    <dxf>
      <font>
        <b/>
        <i val="0"/>
        <color rgb="FFC00000"/>
      </font>
      <border>
        <vertical/>
        <horizontal/>
      </border>
    </dxf>
    <dxf>
      <font>
        <b/>
        <i val="0"/>
        <color rgb="FFC00000"/>
      </font>
      <border>
        <vertical/>
        <horizontal/>
      </border>
    </dxf>
    <dxf>
      <font>
        <b/>
        <i val="0"/>
        <color rgb="FFC00000"/>
      </font>
      <border>
        <vertical/>
        <horizontal/>
      </border>
    </dxf>
    <dxf>
      <font>
        <color rgb="FFFF0000"/>
      </font>
      <fill>
        <patternFill>
          <bgColor rgb="FFFCE4D6"/>
        </patternFill>
      </fill>
    </dxf>
    <dxf>
      <font>
        <color rgb="FFFF0000"/>
      </font>
      <fill>
        <patternFill>
          <bgColor rgb="FFFCE4D6"/>
        </patternFill>
      </fill>
    </dxf>
    <dxf>
      <font>
        <color theme="0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FFEB"/>
      <color rgb="FFF5F5F7"/>
      <color rgb="FF0080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7585834009191671E-3"/>
          <c:y val="0.12327958973222912"/>
          <c:w val="0.98986212489862124"/>
          <c:h val="0.86873985169443968"/>
        </c:manualLayout>
      </c:layout>
      <c:barChart>
        <c:barDir val="col"/>
        <c:grouping val="clustered"/>
        <c:varyColors val="0"/>
        <c:ser>
          <c:idx val="0"/>
          <c:order val="0"/>
          <c:spPr>
            <a:noFill/>
            <a:ln w="3175">
              <a:noFill/>
            </a:ln>
            <a:effectLst/>
          </c:spPr>
          <c:invertIfNegative val="0"/>
          <c:dLbls>
            <c:dLbl>
              <c:idx val="0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4111922141119221"/>
                      <c:h val="0.111111111111111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5DCB-4AE3-8E5E-9B0533A256FB}"/>
                </c:ext>
              </c:extLst>
            </c:dLbl>
            <c:dLbl>
              <c:idx val="1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4111922141119221"/>
                      <c:h val="0.111111111111111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5DCB-4AE3-8E5E-9B0533A256FB}"/>
                </c:ext>
              </c:extLst>
            </c:dLbl>
            <c:dLbl>
              <c:idx val="2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4111922141119221"/>
                      <c:h val="0.111111111111111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5DCB-4AE3-8E5E-9B0533A256FB}"/>
                </c:ext>
              </c:extLst>
            </c:dLbl>
            <c:dLbl>
              <c:idx val="3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4111922141119221"/>
                      <c:h val="0.111111111111111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5DCB-4AE3-8E5E-9B0533A256FB}"/>
                </c:ext>
              </c:extLst>
            </c:dLbl>
            <c:dLbl>
              <c:idx val="4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4111922141119221"/>
                      <c:h val="0.111111111111111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4-5DCB-4AE3-8E5E-9B0533A256FB}"/>
                </c:ext>
              </c:extLst>
            </c:dLbl>
            <c:dLbl>
              <c:idx val="5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4111922141119221"/>
                      <c:h val="0.111111111111111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5DCB-4AE3-8E5E-9B0533A256FB}"/>
                </c:ext>
              </c:extLst>
            </c:dLbl>
            <c:dLbl>
              <c:idx val="6"/>
              <c:numFmt formatCode="#,##0.0\ \x;[Red]#,##0.0\ \x" sourceLinked="0"/>
              <c:spPr>
                <a:solidFill>
                  <a:schemeClr val="bg1"/>
                </a:solidFill>
                <a:ln w="6350">
                  <a:solidFill>
                    <a:schemeClr val="tx1"/>
                  </a:solidFill>
                </a:ln>
                <a:effectLst/>
              </c:spPr>
              <c:txPr>
                <a:bodyPr rot="0" vertOverflow="clip" horzOverflow="clip" vert="horz" wrap="none" anchorCtr="0"/>
                <a:lstStyle/>
                <a:p>
                  <a:pPr algn="ctr">
                    <a:defRPr sz="950" b="0">
                      <a:solidFill>
                        <a:sysClr val="windowText" lastClr="000000"/>
                      </a:solidFill>
                    </a:defRPr>
                  </a:pPr>
                  <a:endParaRPr lang="en-US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>
                    <c:manualLayout>
                      <c:w val="0.14111922141119221"/>
                      <c:h val="0.111111111111111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5DCB-4AE3-8E5E-9B0533A256FB}"/>
                </c:ext>
              </c:extLst>
            </c:dLbl>
            <c:numFmt formatCode="#,##0.0\ \x;[Red]#,##0.0\ \x" sourceLinked="0"/>
            <c:spPr>
              <a:solidFill>
                <a:schemeClr val="bg1"/>
              </a:solidFill>
              <a:ln w="6350">
                <a:solidFill>
                  <a:schemeClr val="tx1"/>
                </a:solidFill>
              </a:ln>
              <a:effectLst/>
            </c:spPr>
            <c:txPr>
              <a:bodyPr rot="0" vertOverflow="clip" horzOverflow="clip" vert="horz" wrap="none"/>
              <a:lstStyle/>
              <a:p>
                <a:pPr>
                  <a:defRPr sz="950" b="0">
                    <a:solidFill>
                      <a:sysClr val="windowText" lastClr="000000"/>
                    </a:solidFill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0"/>
              </c:ext>
            </c:extLst>
          </c:dLbls>
          <c:cat>
            <c:strRef>
              <c:f>Summary!$BL$10:$BL$16</c:f>
              <c:strCache>
                <c:ptCount val="7"/>
                <c:pt idx="0">
                  <c:v>Price</c:v>
                </c:pt>
                <c:pt idx="1">
                  <c:v>Units</c:v>
                </c:pt>
                <c:pt idx="2">
                  <c:v>Depn</c:v>
                </c:pt>
                <c:pt idx="3">
                  <c:v>Cmsns</c:v>
                </c:pt>
                <c:pt idx="4">
                  <c:v>Payroll</c:v>
                </c:pt>
                <c:pt idx="5">
                  <c:v>Overhead</c:v>
                </c:pt>
                <c:pt idx="6">
                  <c:v>COGS</c:v>
                </c:pt>
              </c:strCache>
            </c:strRef>
          </c:cat>
          <c:val>
            <c:numRef>
              <c:f>Summary!$BM$10:$BM$16</c:f>
              <c:numCache>
                <c:formatCode>#,##0</c:formatCode>
                <c:ptCount val="7"/>
                <c:pt idx="0">
                  <c:v>11.445008012813835</c:v>
                </c:pt>
                <c:pt idx="1">
                  <c:v>2.9742460780894788</c:v>
                </c:pt>
                <c:pt idx="2">
                  <c:v>-0.15881715212548975</c:v>
                </c:pt>
                <c:pt idx="3">
                  <c:v>-0.2289001602562768</c:v>
                </c:pt>
                <c:pt idx="4">
                  <c:v>-0.77420351981193014</c:v>
                </c:pt>
                <c:pt idx="5">
                  <c:v>-0.97114239802127145</c:v>
                </c:pt>
                <c:pt idx="6">
                  <c:v>-8.4707619347243579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DCB-4AE3-8E5E-9B0533A256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7186655"/>
        <c:axId val="127185215"/>
      </c:barChart>
      <c:catAx>
        <c:axId val="1271866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high"/>
        <c:spPr>
          <a:noFill/>
          <a:ln w="6350" cap="flat" cmpd="sng" algn="ctr">
            <a:solidFill>
              <a:schemeClr val="tx1"/>
            </a:solidFill>
            <a:prstDash val="sysDot"/>
            <a:round/>
          </a:ln>
          <a:effectLst/>
        </c:spPr>
        <c:txPr>
          <a:bodyPr rot="-60000000" vert="horz"/>
          <a:lstStyle/>
          <a:p>
            <a:pPr>
              <a:defRPr sz="950" u="none">
                <a:solidFill>
                  <a:srgbClr val="820000"/>
                </a:solidFill>
              </a:defRPr>
            </a:pPr>
            <a:endParaRPr lang="en-US"/>
          </a:p>
        </c:txPr>
        <c:crossAx val="127185215"/>
        <c:crosses val="autoZero"/>
        <c:auto val="1"/>
        <c:lblAlgn val="ctr"/>
        <c:lblOffset val="0"/>
        <c:noMultiLvlLbl val="0"/>
      </c:catAx>
      <c:valAx>
        <c:axId val="127185215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127186655"/>
        <c:crosses val="autoZero"/>
        <c:crossBetween val="between"/>
      </c:valAx>
      <c:spPr>
        <a:solidFill>
          <a:srgbClr val="F5F5F7"/>
        </a:solidFill>
        <a:ln w="9525">
          <a:solidFill>
            <a:schemeClr val="tx1"/>
          </a:solidFill>
          <a:prstDash val="sysDot"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rgbClr val="0000CC"/>
          </a:solidFill>
        </a:defRPr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6668066521081808E-3"/>
          <c:y val="0.11618026557898155"/>
          <c:w val="0.98879792751553841"/>
          <c:h val="0.87683312754193787"/>
        </c:manualLayout>
      </c:layout>
      <c:barChart>
        <c:barDir val="col"/>
        <c:grouping val="percentStacked"/>
        <c:varyColors val="0"/>
        <c:ser>
          <c:idx val="4"/>
          <c:order val="0"/>
          <c:tx>
            <c:strRef>
              <c:f>Summary!$BY$9</c:f>
              <c:strCache>
                <c:ptCount val="1"/>
                <c:pt idx="0">
                  <c:v>Common</c:v>
                </c:pt>
              </c:strCache>
            </c:strRef>
          </c:tx>
          <c:spPr>
            <a:solidFill>
              <a:srgbClr val="F0F1F4"/>
            </a:solidFill>
            <a:ln w="3175">
              <a:solidFill>
                <a:schemeClr val="tx1"/>
              </a:solidFill>
              <a:prstDash val="sysDot"/>
            </a:ln>
          </c:spPr>
          <c:invertIfNegative val="0"/>
          <c:dLbls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838790931989925"/>
                      <c:h val="5.208333333333333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B645-4C2D-A62B-1C094D823A17}"/>
                </c:ext>
              </c:extLst>
            </c:dLbl>
            <c:dLbl>
              <c:idx val="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838790931989925"/>
                      <c:h val="5.208333333333333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B645-4C2D-A62B-1C094D823A17}"/>
                </c:ext>
              </c:extLst>
            </c:dLbl>
            <c:dLbl>
              <c:idx val="3"/>
              <c:numFmt formatCode="0%" sourceLinked="0"/>
              <c:spPr>
                <a:solidFill>
                  <a:srgbClr val="F0F1F4"/>
                </a:solidFill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950">
                      <a:latin typeface="+mn-lt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838790931989925"/>
                      <c:h val="5.208333333333333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B645-4C2D-A62B-1C094D823A17}"/>
                </c:ext>
              </c:extLst>
            </c:dLbl>
            <c:dLbl>
              <c:idx val="4"/>
              <c:numFmt formatCode="0.0%" sourceLinked="0"/>
              <c:spPr>
                <a:solidFill>
                  <a:srgbClr val="F0F1F4"/>
                </a:solidFill>
                <a:ln>
                  <a:noFill/>
                </a:ln>
                <a:effectLst/>
              </c:spPr>
              <c:txPr>
                <a:bodyPr lIns="91440" anchorCtr="0"/>
                <a:lstStyle/>
                <a:p>
                  <a:pPr algn="l">
                    <a:defRPr sz="950">
                      <a:latin typeface="+mn-lt"/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7632241813602015"/>
                      <c:h val="8.129040517186199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B645-4C2D-A62B-1C094D823A17}"/>
                </c:ext>
              </c:extLst>
            </c:dLbl>
            <c:numFmt formatCode="0.0%" sourceLinked="0"/>
            <c:spPr>
              <a:solidFill>
                <a:srgbClr val="F0F1F4"/>
              </a:solidFill>
              <a:ln>
                <a:noFill/>
              </a:ln>
              <a:effectLst/>
            </c:spPr>
            <c:txPr>
              <a:bodyPr/>
              <a:lstStyle/>
              <a:p>
                <a:pPr>
                  <a:defRPr sz="950">
                    <a:latin typeface="+mn-lt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Summary!$BZ$8:$CD$8</c:f>
              <c:strCache>
                <c:ptCount val="4"/>
                <c:pt idx="0">
                  <c:v>WACC</c:v>
                </c:pt>
                <c:pt idx="1">
                  <c:v>Weighted cost</c:v>
                </c:pt>
                <c:pt idx="2">
                  <c:v>Cost</c:v>
                </c:pt>
                <c:pt idx="3">
                  <c:v>Pct of total</c:v>
                </c:pt>
              </c:strCache>
            </c:strRef>
          </c:cat>
          <c:val>
            <c:numRef>
              <c:f>Summary!$BZ$9:$CD$9</c:f>
              <c:numCache>
                <c:formatCode>0.0%</c:formatCode>
                <c:ptCount val="5"/>
                <c:pt idx="1">
                  <c:v>3.6044776119402981E-2</c:v>
                </c:pt>
                <c:pt idx="2">
                  <c:v>0.105</c:v>
                </c:pt>
                <c:pt idx="3" formatCode="0%">
                  <c:v>0.34328358208955223</c:v>
                </c:pt>
                <c:pt idx="4" formatCode="#,##0;[Red]#,##0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645-4C2D-A62B-1C094D823A17}"/>
            </c:ext>
          </c:extLst>
        </c:ser>
        <c:ser>
          <c:idx val="3"/>
          <c:order val="1"/>
          <c:tx>
            <c:strRef>
              <c:f>Summary!$BY$10</c:f>
              <c:strCache>
                <c:ptCount val="1"/>
                <c:pt idx="0">
                  <c:v>Preferred</c:v>
                </c:pt>
              </c:strCache>
            </c:strRef>
          </c:tx>
          <c:spPr>
            <a:solidFill>
              <a:schemeClr val="bg1"/>
            </a:solidFill>
            <a:ln w="6350">
              <a:solidFill>
                <a:schemeClr val="tx1"/>
              </a:solidFill>
            </a:ln>
          </c:spPr>
          <c:invertIfNegative val="0"/>
          <c:dLbls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838790931989925"/>
                      <c:h val="5.208333333333333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B645-4C2D-A62B-1C094D823A17}"/>
                </c:ext>
              </c:extLst>
            </c:dLbl>
            <c:dLbl>
              <c:idx val="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838790931989925"/>
                      <c:h val="5.208333333333333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B645-4C2D-A62B-1C094D823A17}"/>
                </c:ext>
              </c:extLst>
            </c:dLbl>
            <c:dLbl>
              <c:idx val="3"/>
              <c:numFmt formatCode="0%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950">
                      <a:latin typeface="+mn-lt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838790931989925"/>
                      <c:h val="5.208333333333333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B645-4C2D-A62B-1C094D823A17}"/>
                </c:ext>
              </c:extLst>
            </c:dLbl>
            <c:dLbl>
              <c:idx val="4"/>
              <c:numFmt formatCode="0.0%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lIns="91440" anchorCtr="0"/>
                <a:lstStyle/>
                <a:p>
                  <a:pPr algn="l">
                    <a:defRPr sz="950">
                      <a:latin typeface="+mn-lt"/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7632241813602015"/>
                      <c:h val="8.129040517186199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8-B645-4C2D-A62B-1C094D823A17}"/>
                </c:ext>
              </c:extLst>
            </c:dLbl>
            <c:numFmt formatCode="0.0%" sourceLinked="0"/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/>
              <a:lstStyle/>
              <a:p>
                <a:pPr>
                  <a:defRPr sz="950">
                    <a:latin typeface="+mn-lt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Summary!$BZ$8:$CD$8</c:f>
              <c:strCache>
                <c:ptCount val="4"/>
                <c:pt idx="0">
                  <c:v>WACC</c:v>
                </c:pt>
                <c:pt idx="1">
                  <c:v>Weighted cost</c:v>
                </c:pt>
                <c:pt idx="2">
                  <c:v>Cost</c:v>
                </c:pt>
                <c:pt idx="3">
                  <c:v>Pct of total</c:v>
                </c:pt>
              </c:strCache>
            </c:strRef>
          </c:cat>
          <c:val>
            <c:numRef>
              <c:f>Summary!$BZ$10:$CD$10</c:f>
              <c:numCache>
                <c:formatCode>0.0%</c:formatCode>
                <c:ptCount val="5"/>
                <c:pt idx="1">
                  <c:v>9.4029850746268646E-3</c:v>
                </c:pt>
                <c:pt idx="2">
                  <c:v>0.105</c:v>
                </c:pt>
                <c:pt idx="3" formatCode="0%">
                  <c:v>8.9552238805970144E-2</c:v>
                </c:pt>
                <c:pt idx="4" formatCode="#,##0;[Red]#,##0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645-4C2D-A62B-1C094D823A17}"/>
            </c:ext>
          </c:extLst>
        </c:ser>
        <c:ser>
          <c:idx val="1"/>
          <c:order val="2"/>
          <c:tx>
            <c:strRef>
              <c:f>Summary!$BY$11</c:f>
              <c:strCache>
                <c:ptCount val="1"/>
                <c:pt idx="0">
                  <c:v>L/T Debt</c:v>
                </c:pt>
              </c:strCache>
            </c:strRef>
          </c:tx>
          <c:spPr>
            <a:solidFill>
              <a:srgbClr val="F0F1F4"/>
            </a:solidFill>
            <a:ln w="6350">
              <a:solidFill>
                <a:schemeClr val="tx1"/>
              </a:solidFill>
            </a:ln>
          </c:spPr>
          <c:invertIfNegative val="0"/>
          <c:dLbls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838790931989925"/>
                      <c:h val="5.208333333333333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A-B645-4C2D-A62B-1C094D823A17}"/>
                </c:ext>
              </c:extLst>
            </c:dLbl>
            <c:dLbl>
              <c:idx val="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838790931989925"/>
                      <c:h val="5.208333333333333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B645-4C2D-A62B-1C094D823A17}"/>
                </c:ext>
              </c:extLst>
            </c:dLbl>
            <c:dLbl>
              <c:idx val="3"/>
              <c:numFmt formatCode="0%" sourceLinked="0"/>
              <c:spPr>
                <a:solidFill>
                  <a:srgbClr val="F0F1F4"/>
                </a:solidFill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950">
                      <a:latin typeface="+mn-lt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838790931989925"/>
                      <c:h val="5.208333333333333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C-B645-4C2D-A62B-1C094D823A17}"/>
                </c:ext>
              </c:extLst>
            </c:dLbl>
            <c:dLbl>
              <c:idx val="4"/>
              <c:numFmt formatCode="0.0%" sourceLinked="0"/>
              <c:spPr>
                <a:solidFill>
                  <a:srgbClr val="F0F1F4"/>
                </a:solidFill>
                <a:ln>
                  <a:noFill/>
                </a:ln>
                <a:effectLst/>
              </c:spPr>
              <c:txPr>
                <a:bodyPr lIns="91440" anchorCtr="0"/>
                <a:lstStyle/>
                <a:p>
                  <a:pPr algn="l">
                    <a:defRPr sz="950">
                      <a:latin typeface="+mn-lt"/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7632241813602015"/>
                      <c:h val="8.129040517186199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D-B645-4C2D-A62B-1C094D823A17}"/>
                </c:ext>
              </c:extLst>
            </c:dLbl>
            <c:numFmt formatCode="0.0%" sourceLinked="0"/>
            <c:spPr>
              <a:solidFill>
                <a:srgbClr val="F0F1F4"/>
              </a:solidFill>
              <a:ln>
                <a:noFill/>
              </a:ln>
              <a:effectLst/>
            </c:spPr>
            <c:txPr>
              <a:bodyPr/>
              <a:lstStyle/>
              <a:p>
                <a:pPr>
                  <a:defRPr sz="950">
                    <a:latin typeface="+mn-lt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Summary!$BZ$8:$CD$8</c:f>
              <c:strCache>
                <c:ptCount val="4"/>
                <c:pt idx="0">
                  <c:v>WACC</c:v>
                </c:pt>
                <c:pt idx="1">
                  <c:v>Weighted cost</c:v>
                </c:pt>
                <c:pt idx="2">
                  <c:v>Cost</c:v>
                </c:pt>
                <c:pt idx="3">
                  <c:v>Pct of total</c:v>
                </c:pt>
              </c:strCache>
            </c:strRef>
          </c:cat>
          <c:val>
            <c:numRef>
              <c:f>Summary!$BZ$11:$CD$11</c:f>
              <c:numCache>
                <c:formatCode>0.0%</c:formatCode>
                <c:ptCount val="5"/>
                <c:pt idx="1">
                  <c:v>1.7761194029850748E-2</c:v>
                </c:pt>
                <c:pt idx="2">
                  <c:v>8.5000000000000006E-2</c:v>
                </c:pt>
                <c:pt idx="3" formatCode="0%">
                  <c:v>0.20895522388059701</c:v>
                </c:pt>
                <c:pt idx="4" formatCode="#,##0;[Red]#,##0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B645-4C2D-A62B-1C094D823A17}"/>
            </c:ext>
          </c:extLst>
        </c:ser>
        <c:ser>
          <c:idx val="0"/>
          <c:order val="3"/>
          <c:tx>
            <c:strRef>
              <c:f>Summary!$BY$12</c:f>
              <c:strCache>
                <c:ptCount val="1"/>
                <c:pt idx="0">
                  <c:v>WACC =</c:v>
                </c:pt>
              </c:strCache>
            </c:strRef>
          </c:tx>
          <c:spPr>
            <a:ln w="3175">
              <a:solidFill>
                <a:schemeClr val="tx1"/>
              </a:solidFill>
              <a:prstDash val="sysDot"/>
            </a:ln>
          </c:spPr>
          <c:invertIfNegative val="0"/>
          <c:dPt>
            <c:idx val="0"/>
            <c:invertIfNegative val="0"/>
            <c:bubble3D val="0"/>
            <c:spPr>
              <a:solidFill>
                <a:schemeClr val="bg1"/>
              </a:solidFill>
              <a:ln w="3175">
                <a:solidFill>
                  <a:schemeClr val="tx1"/>
                </a:solidFill>
                <a:prstDash val="sysDot"/>
              </a:ln>
            </c:spPr>
            <c:extLst>
              <c:ext xmlns:c16="http://schemas.microsoft.com/office/drawing/2014/chart" uri="{C3380CC4-5D6E-409C-BE32-E72D297353CC}">
                <c16:uniqueId val="{00000010-B645-4C2D-A62B-1C094D823A17}"/>
              </c:ext>
            </c:extLst>
          </c:dPt>
          <c:dLbls>
            <c:dLbl>
              <c:idx val="0"/>
              <c:layout>
                <c:manualLayout>
                  <c:x val="-1.489692571694652E-3"/>
                  <c:y val="-0.35108322272289666"/>
                </c:manualLayout>
              </c:layout>
              <c:numFmt formatCode="0.0%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anchor="ctr"/>
                <a:lstStyle/>
                <a:p>
                  <a:pPr>
                    <a:defRPr sz="1000" b="1">
                      <a:latin typeface="+mn-lt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2073546986355382"/>
                      <c:h val="0.1171931343674697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0-B645-4C2D-A62B-1C094D823A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>
                    <a:latin typeface="+mn-lt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Summary!$BZ$8:$CD$8</c:f>
              <c:strCache>
                <c:ptCount val="4"/>
                <c:pt idx="0">
                  <c:v>WACC</c:v>
                </c:pt>
                <c:pt idx="1">
                  <c:v>Weighted cost</c:v>
                </c:pt>
                <c:pt idx="2">
                  <c:v>Cost</c:v>
                </c:pt>
                <c:pt idx="3">
                  <c:v>Pct of total</c:v>
                </c:pt>
              </c:strCache>
            </c:strRef>
          </c:cat>
          <c:val>
            <c:numRef>
              <c:f>Summary!$BZ$12:$CD$12</c:f>
              <c:numCache>
                <c:formatCode>0.0%</c:formatCode>
                <c:ptCount val="5"/>
                <c:pt idx="0">
                  <c:v>8.8875302804408682E-2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B645-4C2D-A62B-1C094D823A17}"/>
            </c:ext>
          </c:extLst>
        </c:ser>
        <c:ser>
          <c:idx val="2"/>
          <c:order val="4"/>
          <c:tx>
            <c:strRef>
              <c:f>Summary!$BY$13</c:f>
              <c:strCache>
                <c:ptCount val="1"/>
                <c:pt idx="0">
                  <c:v>S/T Debt</c:v>
                </c:pt>
              </c:strCache>
            </c:strRef>
          </c:tx>
          <c:spPr>
            <a:solidFill>
              <a:schemeClr val="bg1"/>
            </a:solidFill>
            <a:ln w="6350">
              <a:solidFill>
                <a:schemeClr val="tx1"/>
              </a:solidFill>
            </a:ln>
          </c:spPr>
          <c:invertIfNegative val="0"/>
          <c:dLbls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2594458438287154"/>
                      <c:h val="5.208333333333333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2-B645-4C2D-A62B-1C094D823A17}"/>
                </c:ext>
              </c:extLst>
            </c:dLbl>
            <c:dLbl>
              <c:idx val="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2594458438287154"/>
                      <c:h val="5.208333333333333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3-B645-4C2D-A62B-1C094D823A17}"/>
                </c:ext>
              </c:extLst>
            </c:dLbl>
            <c:dLbl>
              <c:idx val="3"/>
              <c:numFmt formatCode="0%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950">
                      <a:latin typeface="+mn-lt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2594458438287154"/>
                      <c:h val="5.208333333333333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4-B645-4C2D-A62B-1C094D823A17}"/>
                </c:ext>
              </c:extLst>
            </c:dLbl>
            <c:dLbl>
              <c:idx val="4"/>
              <c:numFmt formatCode="0.0%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lIns="91440" anchorCtr="0"/>
                <a:lstStyle/>
                <a:p>
                  <a:pPr algn="l">
                    <a:defRPr sz="950">
                      <a:latin typeface="+mn-lt"/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7632241813602015"/>
                      <c:h val="8.129040517186199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5-B645-4C2D-A62B-1C094D823A17}"/>
                </c:ext>
              </c:extLst>
            </c:dLbl>
            <c:numFmt formatCode="0.0%" sourceLinked="0"/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/>
              <a:lstStyle/>
              <a:p>
                <a:pPr>
                  <a:defRPr sz="950">
                    <a:latin typeface="+mn-lt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Summary!$BZ$8:$CD$8</c:f>
              <c:strCache>
                <c:ptCount val="4"/>
                <c:pt idx="0">
                  <c:v>WACC</c:v>
                </c:pt>
                <c:pt idx="1">
                  <c:v>Weighted cost</c:v>
                </c:pt>
                <c:pt idx="2">
                  <c:v>Cost</c:v>
                </c:pt>
                <c:pt idx="3">
                  <c:v>Pct of total</c:v>
                </c:pt>
              </c:strCache>
            </c:strRef>
          </c:cat>
          <c:val>
            <c:numRef>
              <c:f>Summary!$BZ$13:$CD$13</c:f>
              <c:numCache>
                <c:formatCode>0.0%</c:formatCode>
                <c:ptCount val="5"/>
                <c:pt idx="1">
                  <c:v>2.5074626865671641E-2</c:v>
                </c:pt>
                <c:pt idx="2">
                  <c:v>7.0000000000000007E-2</c:v>
                </c:pt>
                <c:pt idx="3" formatCode="0%">
                  <c:v>0.35820895522388058</c:v>
                </c:pt>
                <c:pt idx="4" formatCode="#,##0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B645-4C2D-A62B-1C094D823A17}"/>
            </c:ext>
          </c:extLst>
        </c:ser>
        <c:ser>
          <c:idx val="5"/>
          <c:order val="5"/>
          <c:tx>
            <c:strRef>
              <c:f>Summary!$BY$14</c:f>
              <c:strCache>
                <c:ptCount val="1"/>
                <c:pt idx="0">
                  <c:v>Credit</c:v>
                </c:pt>
              </c:strCache>
            </c:strRef>
          </c:tx>
          <c:spPr>
            <a:solidFill>
              <a:srgbClr val="F0F1F4"/>
            </a:solidFill>
            <a:ln w="3175">
              <a:solidFill>
                <a:schemeClr val="tx1"/>
              </a:solidFill>
              <a:prstDash val="sysDot"/>
            </a:ln>
          </c:spPr>
          <c:invertIfNegative val="0"/>
          <c:dLbls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838790931989925"/>
                      <c:h val="5.208333333333333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7-B645-4C2D-A62B-1C094D823A17}"/>
                </c:ext>
              </c:extLst>
            </c:dLbl>
            <c:dLbl>
              <c:idx val="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838790931989925"/>
                      <c:h val="5.208333333333333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8-B645-4C2D-A62B-1C094D823A17}"/>
                </c:ext>
              </c:extLst>
            </c:dLbl>
            <c:dLbl>
              <c:idx val="3"/>
              <c:numFmt formatCode="0%" sourceLinked="0"/>
              <c:spPr>
                <a:solidFill>
                  <a:srgbClr val="F0F1F4"/>
                </a:solidFill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950">
                      <a:latin typeface="+mn-lt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838790931989925"/>
                      <c:h val="5.208333333333333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9-B645-4C2D-A62B-1C094D823A17}"/>
                </c:ext>
              </c:extLst>
            </c:dLbl>
            <c:dLbl>
              <c:idx val="4"/>
              <c:numFmt formatCode="0.0%" sourceLinked="0"/>
              <c:spPr>
                <a:solidFill>
                  <a:srgbClr val="F0F1F4"/>
                </a:solidFill>
                <a:ln>
                  <a:noFill/>
                </a:ln>
                <a:effectLst/>
              </c:spPr>
              <c:txPr>
                <a:bodyPr lIns="91440" anchorCtr="0"/>
                <a:lstStyle/>
                <a:p>
                  <a:pPr algn="l">
                    <a:defRPr sz="950">
                      <a:latin typeface="+mn-lt"/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7632241813602015"/>
                      <c:h val="8.129040517186199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A-B645-4C2D-A62B-1C094D823A17}"/>
                </c:ext>
              </c:extLst>
            </c:dLbl>
            <c:numFmt formatCode="0.0%" sourceLinked="0"/>
            <c:spPr>
              <a:solidFill>
                <a:srgbClr val="F0F1F4"/>
              </a:solidFill>
              <a:ln>
                <a:noFill/>
              </a:ln>
              <a:effectLst/>
            </c:spPr>
            <c:txPr>
              <a:bodyPr/>
              <a:lstStyle/>
              <a:p>
                <a:pPr>
                  <a:defRPr sz="950">
                    <a:latin typeface="+mn-lt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Summary!$BZ$8:$CD$8</c:f>
              <c:strCache>
                <c:ptCount val="4"/>
                <c:pt idx="0">
                  <c:v>WACC</c:v>
                </c:pt>
                <c:pt idx="1">
                  <c:v>Weighted cost</c:v>
                </c:pt>
                <c:pt idx="2">
                  <c:v>Cost</c:v>
                </c:pt>
                <c:pt idx="3">
                  <c:v>Pct of total</c:v>
                </c:pt>
              </c:strCache>
            </c:strRef>
          </c:cat>
          <c:val>
            <c:numRef>
              <c:f>Summary!$BZ$14:$CD$14</c:f>
              <c:numCache>
                <c:formatCode>0.0%</c:formatCode>
                <c:ptCount val="5"/>
                <c:pt idx="1">
                  <c:v>0</c:v>
                </c:pt>
                <c:pt idx="2">
                  <c:v>8.7499999999999994E-2</c:v>
                </c:pt>
                <c:pt idx="3" formatCode="0%">
                  <c:v>0</c:v>
                </c:pt>
                <c:pt idx="4" formatCode="#,##0;[Red]#,##0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B645-4C2D-A62B-1C094D823A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363418831"/>
        <c:axId val="363416911"/>
      </c:barChart>
      <c:catAx>
        <c:axId val="363418831"/>
        <c:scaling>
          <c:orientation val="maxMin"/>
        </c:scaling>
        <c:delete val="0"/>
        <c:axPos val="b"/>
        <c:numFmt formatCode="General" sourceLinked="1"/>
        <c:majorTickMark val="out"/>
        <c:minorTickMark val="none"/>
        <c:tickLblPos val="high"/>
        <c:spPr>
          <a:noFill/>
          <a:ln>
            <a:noFill/>
          </a:ln>
        </c:spPr>
        <c:txPr>
          <a:bodyPr/>
          <a:lstStyle/>
          <a:p>
            <a:pPr>
              <a:defRPr sz="950">
                <a:solidFill>
                  <a:srgbClr val="820000"/>
                </a:solidFill>
                <a:latin typeface="+mn-lt"/>
              </a:defRPr>
            </a:pPr>
            <a:endParaRPr lang="en-US"/>
          </a:p>
        </c:txPr>
        <c:crossAx val="363416911"/>
        <c:crosses val="autoZero"/>
        <c:auto val="1"/>
        <c:lblAlgn val="ctr"/>
        <c:lblOffset val="0"/>
        <c:noMultiLvlLbl val="0"/>
      </c:catAx>
      <c:valAx>
        <c:axId val="363416911"/>
        <c:scaling>
          <c:orientation val="minMax"/>
        </c:scaling>
        <c:delete val="1"/>
        <c:axPos val="r"/>
        <c:numFmt formatCode="0%" sourceLinked="1"/>
        <c:majorTickMark val="none"/>
        <c:minorTickMark val="none"/>
        <c:tickLblPos val="nextTo"/>
        <c:crossAx val="363418831"/>
        <c:crosses val="autoZero"/>
        <c:crossBetween val="between"/>
      </c:valAx>
      <c:spPr>
        <a:solidFill>
          <a:srgbClr val="F5F5F7"/>
        </a:solidFill>
        <a:ln w="3175">
          <a:solidFill>
            <a:schemeClr val="tx1"/>
          </a:solidFill>
          <a:prstDash val="sysDot"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0" cap="flat" cmpd="sng" algn="ctr">
      <a:noFill/>
      <a:round/>
    </a:ln>
    <a:effectLst/>
  </c:spPr>
  <c:txPr>
    <a:bodyPr/>
    <a:lstStyle/>
    <a:p>
      <a:pPr>
        <a:defRPr sz="950">
          <a:solidFill>
            <a:sysClr val="windowText" lastClr="000000"/>
          </a:solidFill>
          <a:latin typeface="Segoe UI Variable Display" pitchFamily="2" charset="0"/>
          <a:cs typeface="Segoe UI Semibold" panose="020B0702040204020203" pitchFamily="34" charset="0"/>
        </a:defRPr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models.com/checkout/?add-to-cart=10399&amp;coupon=SAVE20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4" Type="http://schemas.openxmlformats.org/officeDocument/2006/relationships/image" Target="../media/image3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emf"/><Relationship Id="rId1" Type="http://schemas.openxmlformats.org/officeDocument/2006/relationships/hyperlink" Target="https://excelmodels.com/checkout/?add-to-cart=10399&amp;coupon=SAVE20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hyperlink" Target="https://excelmodels.com/checkout/?add-to-cart=10399&amp;coupon=SAVE20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hyperlink" Target="https://excelmodels.com/checkout/?add-to-cart=10399&amp;coupon=SAVE20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hyperlink" Target="https://excelmodels.com/checkout/?add-to-cart=10399&amp;coupon=SAVE20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hyperlink" Target="https://excelmodels.com/checkout/?add-to-cart=10399&amp;coupon=SAVE20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hyperlink" Target="https://excelmodels.com/checkout/?add-to-cart=10399&amp;coupon=SAVE20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hyperlink" Target="https://excelmodels.com/checkout/?add-to-cart=10399&amp;coupon=SAVE20" TargetMode="Externa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models.com/checkout/?add-to-cart=10399&amp;coupon=SAVE20" TargetMode="Externa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3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hyperlink" Target="https://excelmodels.com/checkout/?add-to-cart=10399&amp;coupon=SAVE20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60960</xdr:rowOff>
    </xdr:from>
    <xdr:to>
      <xdr:col>9</xdr:col>
      <xdr:colOff>194803</xdr:colOff>
      <xdr:row>3</xdr:row>
      <xdr:rowOff>7618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771D185E-7FFF-5659-3425-3EA6F052C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81000"/>
          <a:ext cx="6626083" cy="9220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15240</xdr:rowOff>
    </xdr:from>
    <xdr:to>
      <xdr:col>5</xdr:col>
      <xdr:colOff>830139</xdr:colOff>
      <xdr:row>18</xdr:row>
      <xdr:rowOff>71690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33770CD5-7C4F-465D-06CC-5BE98FF6D0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0100" y="3162300"/>
          <a:ext cx="3580959" cy="110801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45720</xdr:rowOff>
    </xdr:from>
    <xdr:to>
      <xdr:col>3</xdr:col>
      <xdr:colOff>624840</xdr:colOff>
      <xdr:row>1</xdr:row>
      <xdr:rowOff>252711</xdr:rowOff>
    </xdr:to>
    <xdr:pic>
      <xdr:nvPicPr>
        <xdr:cNvPr id="2" name="Picture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38DF9D2-7273-4EEB-83ED-983DD5BAB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75260"/>
          <a:ext cx="1600200" cy="2069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1</xdr:row>
      <xdr:rowOff>45720</xdr:rowOff>
    </xdr:from>
    <xdr:to>
      <xdr:col>7</xdr:col>
      <xdr:colOff>68580</xdr:colOff>
      <xdr:row>1</xdr:row>
      <xdr:rowOff>243840</xdr:rowOff>
    </xdr:to>
    <xdr:pic>
      <xdr:nvPicPr>
        <xdr:cNvPr id="5" name="Pictur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EB9E39-D013-4607-A8D9-C20CA4FDD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" y="175260"/>
          <a:ext cx="153162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15241</xdr:colOff>
      <xdr:row>2</xdr:row>
      <xdr:rowOff>60960</xdr:rowOff>
    </xdr:from>
    <xdr:to>
      <xdr:col>20</xdr:col>
      <xdr:colOff>509785</xdr:colOff>
      <xdr:row>2</xdr:row>
      <xdr:rowOff>198120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FA84B0D-5B77-4853-BEBD-529F4469E8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99261" y="563880"/>
          <a:ext cx="2887224" cy="1371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38100</xdr:rowOff>
    </xdr:from>
    <xdr:to>
      <xdr:col>3</xdr:col>
      <xdr:colOff>22860</xdr:colOff>
      <xdr:row>2</xdr:row>
      <xdr:rowOff>106680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F0D62D-A03C-4434-A4E4-F752E49AF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" y="167640"/>
          <a:ext cx="153162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38100</xdr:rowOff>
    </xdr:from>
    <xdr:to>
      <xdr:col>3</xdr:col>
      <xdr:colOff>22860</xdr:colOff>
      <xdr:row>2</xdr:row>
      <xdr:rowOff>106680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0CEB337-126A-4980-8E85-BC9F6DA83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" y="167640"/>
          <a:ext cx="153162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38100</xdr:rowOff>
    </xdr:from>
    <xdr:to>
      <xdr:col>3</xdr:col>
      <xdr:colOff>22860</xdr:colOff>
      <xdr:row>2</xdr:row>
      <xdr:rowOff>106680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02011C-667B-4AB0-A567-E826E6EDB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" y="167640"/>
          <a:ext cx="153162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38100</xdr:rowOff>
    </xdr:from>
    <xdr:to>
      <xdr:col>3</xdr:col>
      <xdr:colOff>22860</xdr:colOff>
      <xdr:row>2</xdr:row>
      <xdr:rowOff>106680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338E41-3D60-4274-B156-806872344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" y="167640"/>
          <a:ext cx="153162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38100</xdr:rowOff>
    </xdr:from>
    <xdr:to>
      <xdr:col>3</xdr:col>
      <xdr:colOff>22860</xdr:colOff>
      <xdr:row>2</xdr:row>
      <xdr:rowOff>106680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3ECDB4-3FEF-4B68-A75B-5D406C720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" y="167640"/>
          <a:ext cx="153162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838200</xdr:colOff>
      <xdr:row>18</xdr:row>
      <xdr:rowOff>114300</xdr:rowOff>
    </xdr:from>
    <xdr:to>
      <xdr:col>4</xdr:col>
      <xdr:colOff>53340</xdr:colOff>
      <xdr:row>22</xdr:row>
      <xdr:rowOff>83820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F38DC7DD-5251-46A6-8796-1B6F21C997C9}"/>
            </a:ext>
          </a:extLst>
        </xdr:cNvPr>
        <xdr:cNvCxnSpPr/>
      </xdr:nvCxnSpPr>
      <xdr:spPr>
        <a:xfrm>
          <a:off x="1158240" y="2979420"/>
          <a:ext cx="662940" cy="571500"/>
        </a:xfrm>
        <a:prstGeom prst="straightConnector1">
          <a:avLst/>
        </a:prstGeom>
        <a:ln w="6350">
          <a:solidFill>
            <a:schemeClr val="tx1">
              <a:lumMod val="65000"/>
              <a:lumOff val="35000"/>
            </a:schemeClr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0</xdr:colOff>
      <xdr:row>1</xdr:row>
      <xdr:rowOff>38100</xdr:rowOff>
    </xdr:from>
    <xdr:to>
      <xdr:col>3</xdr:col>
      <xdr:colOff>22860</xdr:colOff>
      <xdr:row>2</xdr:row>
      <xdr:rowOff>106680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E70D2D-2BC3-4EBA-903D-26416D169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" y="167640"/>
          <a:ext cx="153162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8</xdr:row>
      <xdr:rowOff>0</xdr:rowOff>
    </xdr:from>
    <xdr:to>
      <xdr:col>22</xdr:col>
      <xdr:colOff>16999</xdr:colOff>
      <xdr:row>28</xdr:row>
      <xdr:rowOff>15240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5AE6154B-F7E1-4876-9798-5443EA1C57B5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14</xdr:col>
      <xdr:colOff>1759</xdr:colOff>
      <xdr:row>30</xdr:row>
      <xdr:rowOff>62386</xdr:rowOff>
    </xdr:from>
    <xdr:to>
      <xdr:col>22</xdr:col>
      <xdr:colOff>35287</xdr:colOff>
      <xdr:row>51</xdr:row>
      <xdr:rowOff>7041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998E9FA2-0D85-47AE-AD33-F3A71E3888E1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</xdr:col>
      <xdr:colOff>0</xdr:colOff>
      <xdr:row>1</xdr:row>
      <xdr:rowOff>38100</xdr:rowOff>
    </xdr:from>
    <xdr:to>
      <xdr:col>5</xdr:col>
      <xdr:colOff>175260</xdr:colOff>
      <xdr:row>2</xdr:row>
      <xdr:rowOff>106680</xdr:rowOff>
    </xdr:to>
    <xdr:pic>
      <xdr:nvPicPr>
        <xdr:cNvPr id="2" name="Picture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95246E8-8F8E-4E00-B49C-6CDC4EEC9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" y="167640"/>
          <a:ext cx="153162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38100</xdr:rowOff>
    </xdr:from>
    <xdr:to>
      <xdr:col>3</xdr:col>
      <xdr:colOff>22860</xdr:colOff>
      <xdr:row>2</xdr:row>
      <xdr:rowOff>106680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7AD40C-A7F9-4EF7-BCBF-B996AB4FE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" y="167640"/>
          <a:ext cx="153162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xcelmodels.com/checkout/?add-to-cart=10399&amp;coupon=SAVE20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79DAF-1A01-4110-BD69-6E2BA7C4095D}">
  <sheetPr codeName="Sheet1">
    <tabColor rgb="FF0080EA"/>
    <outlinePr showOutlineSymbols="0"/>
  </sheetPr>
  <dimension ref="A1:O20"/>
  <sheetViews>
    <sheetView showGridLines="0" showRowColHeaders="0" showZeros="0" tabSelected="1" showOutlineSymbols="0" zoomScaleNormal="100" workbookViewId="0">
      <selection activeCell="K10" sqref="K10"/>
    </sheetView>
  </sheetViews>
  <sheetFormatPr defaultColWidth="9.109375" defaultRowHeight="10.199999999999999" x14ac:dyDescent="0.2"/>
  <cols>
    <col min="1" max="1" width="3" style="5" customWidth="1"/>
    <col min="2" max="2" width="8.6640625" style="5" customWidth="1"/>
    <col min="3" max="3" width="14.21875" style="2" customWidth="1"/>
    <col min="4" max="4" width="13.6640625" style="2" customWidth="1"/>
    <col min="5" max="5" width="12.21875" style="2" bestFit="1" customWidth="1"/>
    <col min="6" max="6" width="13.109375" style="2" bestFit="1" customWidth="1"/>
    <col min="7" max="8" width="13.6640625" style="2" customWidth="1"/>
    <col min="9" max="9" width="13.21875" style="2" bestFit="1" customWidth="1"/>
    <col min="10" max="10" width="3.109375" style="2" customWidth="1"/>
    <col min="11" max="11" width="20.77734375" style="2" bestFit="1" customWidth="1"/>
    <col min="12" max="16384" width="9.109375" style="2"/>
  </cols>
  <sheetData>
    <row r="1" spans="1:15" x14ac:dyDescent="0.2">
      <c r="A1" s="1" t="s">
        <v>0</v>
      </c>
      <c r="B1" s="1"/>
    </row>
    <row r="2" spans="1:15" s="416" customFormat="1" ht="30" customHeight="1" x14ac:dyDescent="0.35">
      <c r="A2" s="40"/>
      <c r="B2" s="40"/>
      <c r="C2" s="418"/>
      <c r="J2" s="417"/>
      <c r="M2" s="418"/>
      <c r="N2" s="418"/>
      <c r="O2" s="418"/>
    </row>
    <row r="3" spans="1:15" s="416" customFormat="1" ht="76.8" customHeight="1" x14ac:dyDescent="0.3">
      <c r="A3" s="13"/>
      <c r="B3" s="13"/>
    </row>
    <row r="4" spans="1:15" s="419" customFormat="1" ht="24" customHeight="1" x14ac:dyDescent="0.3">
      <c r="A4" s="115"/>
      <c r="B4" s="115"/>
    </row>
    <row r="5" spans="1:15" s="422" customFormat="1" ht="15" x14ac:dyDescent="0.35">
      <c r="A5" s="13"/>
      <c r="B5" s="13"/>
      <c r="C5" s="420" t="s">
        <v>57</v>
      </c>
      <c r="D5" s="420" t="s">
        <v>324</v>
      </c>
      <c r="E5" s="420" t="s">
        <v>325</v>
      </c>
      <c r="F5" s="420" t="s">
        <v>49</v>
      </c>
      <c r="G5" s="420" t="s">
        <v>195</v>
      </c>
      <c r="H5" s="420" t="s">
        <v>77</v>
      </c>
      <c r="I5" s="421" t="s">
        <v>83</v>
      </c>
    </row>
    <row r="6" spans="1:15" s="419" customFormat="1" ht="13.8" x14ac:dyDescent="0.3">
      <c r="A6" s="115"/>
      <c r="B6" s="115"/>
      <c r="C6" s="424" t="s">
        <v>228</v>
      </c>
      <c r="D6" s="424" t="s">
        <v>14</v>
      </c>
      <c r="E6" s="424" t="s">
        <v>55</v>
      </c>
      <c r="F6" s="424" t="s">
        <v>326</v>
      </c>
      <c r="G6" s="424" t="s">
        <v>327</v>
      </c>
      <c r="H6" s="424" t="s">
        <v>328</v>
      </c>
      <c r="I6" s="424" t="s">
        <v>329</v>
      </c>
    </row>
    <row r="7" spans="1:15" s="419" customFormat="1" ht="13.8" x14ac:dyDescent="0.3">
      <c r="A7" s="115"/>
      <c r="B7" s="115"/>
      <c r="C7" s="424" t="s">
        <v>330</v>
      </c>
      <c r="D7" s="424" t="s">
        <v>178</v>
      </c>
      <c r="E7" s="424" t="s">
        <v>331</v>
      </c>
      <c r="F7" s="424" t="s">
        <v>332</v>
      </c>
      <c r="G7" s="424" t="s">
        <v>333</v>
      </c>
      <c r="H7" s="424" t="s">
        <v>334</v>
      </c>
      <c r="I7" s="424" t="s">
        <v>335</v>
      </c>
    </row>
    <row r="8" spans="1:15" s="419" customFormat="1" ht="13.8" x14ac:dyDescent="0.3">
      <c r="A8" s="115"/>
      <c r="B8" s="115"/>
      <c r="C8" s="424" t="s">
        <v>336</v>
      </c>
      <c r="D8" s="424" t="s">
        <v>337</v>
      </c>
      <c r="E8" s="424" t="s">
        <v>169</v>
      </c>
      <c r="F8" s="424" t="s">
        <v>71</v>
      </c>
      <c r="G8" s="424" t="s">
        <v>338</v>
      </c>
      <c r="H8" s="424" t="s">
        <v>79</v>
      </c>
      <c r="I8" s="424" t="s">
        <v>10</v>
      </c>
    </row>
    <row r="9" spans="1:15" s="419" customFormat="1" ht="13.8" x14ac:dyDescent="0.3">
      <c r="A9" s="115"/>
      <c r="B9" s="115"/>
      <c r="C9" s="424" t="s">
        <v>339</v>
      </c>
      <c r="D9" s="424" t="s">
        <v>49</v>
      </c>
      <c r="E9" s="424" t="s">
        <v>63</v>
      </c>
      <c r="F9" s="424" t="s">
        <v>340</v>
      </c>
      <c r="G9" s="424" t="s">
        <v>341</v>
      </c>
      <c r="H9" s="424" t="s">
        <v>342</v>
      </c>
      <c r="I9" s="424" t="s">
        <v>343</v>
      </c>
    </row>
    <row r="10" spans="1:15" s="419" customFormat="1" ht="13.8" x14ac:dyDescent="0.3">
      <c r="A10" s="115"/>
      <c r="B10" s="115"/>
      <c r="C10" s="424" t="s">
        <v>344</v>
      </c>
      <c r="D10" s="424" t="s">
        <v>257</v>
      </c>
      <c r="E10" s="424" t="s">
        <v>345</v>
      </c>
      <c r="F10" s="424" t="s">
        <v>346</v>
      </c>
      <c r="G10" s="424" t="s">
        <v>190</v>
      </c>
      <c r="H10" s="424" t="s">
        <v>81</v>
      </c>
      <c r="I10" s="424" t="s">
        <v>347</v>
      </c>
    </row>
    <row r="11" spans="1:15" s="419" customFormat="1" ht="13.8" x14ac:dyDescent="0.3">
      <c r="A11" s="115"/>
      <c r="B11" s="115"/>
      <c r="C11" s="424" t="s">
        <v>348</v>
      </c>
      <c r="D11" s="424" t="s">
        <v>349</v>
      </c>
      <c r="E11" s="424" t="s">
        <v>350</v>
      </c>
      <c r="F11" s="424" t="s">
        <v>71</v>
      </c>
      <c r="G11" s="424" t="s">
        <v>351</v>
      </c>
      <c r="H11" s="424" t="s">
        <v>172</v>
      </c>
      <c r="I11" s="424" t="s">
        <v>352</v>
      </c>
    </row>
    <row r="12" spans="1:15" s="419" customFormat="1" ht="24" customHeight="1" x14ac:dyDescent="0.3">
      <c r="A12" s="423"/>
      <c r="B12" s="423"/>
    </row>
    <row r="13" spans="1:15" s="419" customFormat="1" ht="13.8" x14ac:dyDescent="0.3">
      <c r="A13" s="423"/>
      <c r="B13" s="423"/>
    </row>
    <row r="14" spans="1:15" s="419" customFormat="1" ht="13.8" x14ac:dyDescent="0.3">
      <c r="A14" s="423"/>
      <c r="B14" s="423"/>
    </row>
    <row r="15" spans="1:15" s="419" customFormat="1" ht="13.8" x14ac:dyDescent="0.3">
      <c r="A15" s="423"/>
      <c r="B15" s="423"/>
    </row>
    <row r="16" spans="1:15" s="419" customFormat="1" ht="13.8" x14ac:dyDescent="0.3">
      <c r="A16" s="423"/>
      <c r="B16" s="423"/>
    </row>
    <row r="17" spans="1:2" s="419" customFormat="1" ht="13.8" x14ac:dyDescent="0.3">
      <c r="A17" s="423"/>
      <c r="B17" s="423"/>
    </row>
    <row r="18" spans="1:2" s="419" customFormat="1" ht="13.8" x14ac:dyDescent="0.3">
      <c r="A18" s="423"/>
      <c r="B18" s="423"/>
    </row>
    <row r="19" spans="1:2" s="419" customFormat="1" ht="13.8" x14ac:dyDescent="0.3">
      <c r="A19" s="423"/>
      <c r="B19" s="423"/>
    </row>
    <row r="20" spans="1:2" s="419" customFormat="1" ht="13.8" x14ac:dyDescent="0.3">
      <c r="A20" s="423"/>
      <c r="B20" s="423"/>
    </row>
  </sheetData>
  <sheetProtection algorithmName="SHA-512" hashValue="UJgeK8RVNDE6h2sq9kZajJr851G0L5MJt7smwDWmAEL1DggW/iRkU7kGuiaSUI0+s6mM6It/52kEcA0xISJ1Pw==" saltValue="lqUAPbhq6Ho+nxQEYEZ6AQ==" spinCount="100000" sheet="1" objects="1" scenarios="1" selectLockedCells="1" selectUnlockedCells="1"/>
  <hyperlinks>
    <hyperlink ref="K2:M2" r:id="rId1" display="Get 20% off this model" xr:uid="{BBA30E73-BE0D-4976-BE29-028B6D58E2B4}"/>
  </hyperlinks>
  <pageMargins left="0.7" right="0.7" top="0.75" bottom="0.75" header="0.3" footer="0.3"/>
  <pageSetup orientation="portrait" r:id="rId2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B10BB-D85A-4E00-B7EB-689444C1748A}">
  <sheetPr codeName="Sheet2">
    <tabColor rgb="FFFFFFEB"/>
    <outlinePr showOutlineSymbols="0"/>
  </sheetPr>
  <dimension ref="A1:AY170"/>
  <sheetViews>
    <sheetView showGridLines="0" showRowColHeaders="0" showZeros="0" showOutlineSymbols="0" workbookViewId="0"/>
  </sheetViews>
  <sheetFormatPr defaultColWidth="8.44140625" defaultRowHeight="12.6" x14ac:dyDescent="0.25"/>
  <cols>
    <col min="1" max="1" width="3" style="270" customWidth="1"/>
    <col min="2" max="2" width="3.21875" style="19" bestFit="1" customWidth="1"/>
    <col min="3" max="3" width="3.44140625" style="19" bestFit="1" customWidth="1"/>
    <col min="4" max="4" width="4" style="19" bestFit="1" customWidth="1"/>
    <col min="5" max="6" width="3.44140625" style="19" bestFit="1" customWidth="1"/>
    <col min="7" max="7" width="4" style="19" bestFit="1" customWidth="1"/>
    <col min="8" max="8" width="11.6640625" style="19" customWidth="1"/>
    <col min="9" max="9" width="5.33203125" style="20" bestFit="1" customWidth="1"/>
    <col min="10" max="10" width="3.109375" style="19" bestFit="1" customWidth="1"/>
    <col min="11" max="11" width="3.44140625" style="19" bestFit="1" customWidth="1"/>
    <col min="12" max="12" width="3.109375" style="19" bestFit="1" customWidth="1"/>
    <col min="13" max="13" width="3.44140625" style="19" bestFit="1" customWidth="1"/>
    <col min="14" max="14" width="4.77734375" style="19" bestFit="1" customWidth="1"/>
    <col min="15" max="20" width="5.6640625" style="19" hidden="1" customWidth="1"/>
    <col min="21" max="21" width="11.6640625" style="281" customWidth="1"/>
    <col min="22" max="22" width="3.44140625" style="281" bestFit="1" customWidth="1"/>
    <col min="23" max="23" width="2.88671875" style="19" bestFit="1" customWidth="1"/>
    <col min="24" max="24" width="5.5546875" style="19" bestFit="1" customWidth="1"/>
    <col min="25" max="25" width="2.88671875" style="415" bestFit="1" customWidth="1"/>
    <col min="26" max="26" width="4.6640625" style="19" bestFit="1" customWidth="1"/>
    <col min="27" max="27" width="2.88671875" style="415" bestFit="1" customWidth="1"/>
    <col min="28" max="28" width="11.6640625" style="19" customWidth="1"/>
    <col min="29" max="29" width="3.44140625" style="19" bestFit="1" customWidth="1"/>
    <col min="30" max="30" width="2.88671875" style="19" bestFit="1" customWidth="1"/>
    <col min="31" max="31" width="11.6640625" style="19" customWidth="1"/>
    <col min="32" max="32" width="3.109375" style="19" bestFit="1" customWidth="1"/>
    <col min="33" max="33" width="3.88671875" style="19" bestFit="1" customWidth="1"/>
    <col min="34" max="34" width="5" style="19" bestFit="1" customWidth="1"/>
    <col min="35" max="35" width="2.88671875" style="19" bestFit="1" customWidth="1"/>
    <col min="36" max="36" width="4.77734375" style="19" customWidth="1"/>
    <col min="37" max="37" width="4.6640625" style="19" bestFit="1" customWidth="1"/>
    <col min="38" max="38" width="5" style="19" bestFit="1" customWidth="1"/>
    <col min="39" max="39" width="3.77734375" style="19" customWidth="1"/>
    <col min="40" max="40" width="7.77734375" style="19" customWidth="1"/>
    <col min="41" max="41" width="6.33203125" style="376" customWidth="1"/>
    <col min="42" max="42" width="2.21875" style="376" customWidth="1"/>
    <col min="43" max="43" width="5.21875" style="376" customWidth="1"/>
    <col min="44" max="45" width="3.33203125" style="376" customWidth="1"/>
    <col min="46" max="46" width="5.21875" style="376" customWidth="1"/>
    <col min="47" max="47" width="3.33203125" style="376" customWidth="1"/>
    <col min="48" max="48" width="5.21875" style="376" customWidth="1"/>
    <col min="49" max="49" width="3.33203125" style="376" customWidth="1"/>
    <col min="50" max="50" width="5.21875" style="376" customWidth="1"/>
    <col min="51" max="51" width="1.44140625" style="19" customWidth="1"/>
    <col min="52" max="52" width="3" style="19" customWidth="1"/>
    <col min="53" max="16384" width="8.44140625" style="19"/>
  </cols>
  <sheetData>
    <row r="1" spans="1:51" s="2" customFormat="1" ht="10.199999999999999" x14ac:dyDescent="0.2">
      <c r="A1" s="546"/>
      <c r="U1" s="3"/>
      <c r="Y1" s="4"/>
      <c r="AA1" s="4"/>
    </row>
    <row r="2" spans="1:51" s="5" customFormat="1" ht="28.2" customHeight="1" x14ac:dyDescent="0.2">
      <c r="F2" s="37"/>
      <c r="G2" s="37"/>
      <c r="H2" s="37"/>
      <c r="I2" s="37"/>
      <c r="J2" s="37"/>
      <c r="K2" s="37"/>
    </row>
    <row r="3" spans="1:51" s="426" customFormat="1" ht="16.8" customHeight="1" x14ac:dyDescent="0.4">
      <c r="A3" s="462"/>
      <c r="B3" s="579" t="s">
        <v>24</v>
      </c>
      <c r="C3" s="579"/>
      <c r="D3" s="579"/>
      <c r="E3" s="425"/>
      <c r="F3" s="37"/>
      <c r="G3" s="5"/>
      <c r="H3" s="5"/>
      <c r="I3" s="5"/>
      <c r="J3" s="37"/>
      <c r="K3" s="37"/>
      <c r="L3" s="463"/>
      <c r="M3" s="463"/>
      <c r="N3" s="463"/>
      <c r="O3" s="464"/>
      <c r="P3" s="464"/>
      <c r="Q3" s="464"/>
      <c r="R3" s="464"/>
      <c r="S3" s="464"/>
      <c r="T3" s="464"/>
      <c r="U3" s="463"/>
      <c r="V3" s="463"/>
      <c r="W3" s="463"/>
      <c r="X3" s="463"/>
      <c r="Y3" s="463"/>
      <c r="Z3" s="463"/>
      <c r="AA3" s="463"/>
      <c r="AB3" s="463"/>
      <c r="AC3" s="463"/>
      <c r="AD3" s="463"/>
      <c r="AE3" s="463"/>
      <c r="AF3" s="463"/>
      <c r="AG3" s="463"/>
      <c r="AH3" s="465"/>
      <c r="AI3" s="465"/>
      <c r="AJ3" s="465"/>
      <c r="AK3" s="465"/>
      <c r="AL3" s="465"/>
      <c r="AN3" s="466"/>
    </row>
    <row r="4" spans="1:51" s="283" customFormat="1" ht="21" customHeight="1" x14ac:dyDescent="0.35">
      <c r="A4" s="270"/>
      <c r="B4" s="580" t="s">
        <v>251</v>
      </c>
      <c r="C4" s="580"/>
      <c r="D4" s="580"/>
      <c r="E4" s="580"/>
      <c r="F4" s="580"/>
      <c r="G4" s="580"/>
      <c r="H4" s="580" t="s">
        <v>9</v>
      </c>
      <c r="I4" s="580"/>
      <c r="J4" s="580"/>
      <c r="K4" s="580"/>
      <c r="L4" s="580"/>
      <c r="M4" s="580"/>
      <c r="N4" s="580"/>
      <c r="O4" s="282"/>
      <c r="P4" s="282"/>
      <c r="Q4" s="282"/>
      <c r="R4" s="282"/>
      <c r="S4" s="282"/>
      <c r="T4" s="282"/>
      <c r="U4" s="580" t="s">
        <v>212</v>
      </c>
      <c r="V4" s="580"/>
      <c r="W4" s="580"/>
      <c r="X4" s="580"/>
      <c r="Y4" s="580"/>
      <c r="Z4" s="580"/>
      <c r="AA4" s="580"/>
      <c r="AB4" s="580" t="s">
        <v>69</v>
      </c>
      <c r="AC4" s="580"/>
      <c r="AD4" s="580"/>
      <c r="AE4" s="581" t="s">
        <v>65</v>
      </c>
      <c r="AF4" s="581"/>
      <c r="AG4" s="581"/>
      <c r="AH4" s="581"/>
      <c r="AI4" s="581"/>
      <c r="AJ4" s="580" t="s">
        <v>252</v>
      </c>
      <c r="AK4" s="580"/>
      <c r="AL4" s="580"/>
      <c r="AM4" s="282"/>
      <c r="AN4" s="571" t="s">
        <v>253</v>
      </c>
      <c r="AO4" s="571"/>
      <c r="AP4" s="571"/>
      <c r="AQ4" s="571"/>
      <c r="AR4" s="571"/>
      <c r="AS4" s="571"/>
      <c r="AT4" s="571"/>
      <c r="AU4" s="571"/>
      <c r="AV4" s="571"/>
      <c r="AW4" s="571"/>
      <c r="AX4" s="571"/>
      <c r="AY4" s="571"/>
    </row>
    <row r="5" spans="1:51" s="297" customFormat="1" x14ac:dyDescent="0.3">
      <c r="A5" s="284"/>
      <c r="B5" s="285"/>
      <c r="C5" s="572" t="s">
        <v>71</v>
      </c>
      <c r="D5" s="572"/>
      <c r="E5" s="572" t="s">
        <v>254</v>
      </c>
      <c r="F5" s="572"/>
      <c r="G5" s="286" t="s">
        <v>255</v>
      </c>
      <c r="H5" s="287"/>
      <c r="I5" s="288"/>
      <c r="J5" s="573" t="s">
        <v>256</v>
      </c>
      <c r="K5" s="572"/>
      <c r="L5" s="574" t="s">
        <v>257</v>
      </c>
      <c r="M5" s="574"/>
      <c r="N5" s="289" t="s">
        <v>258</v>
      </c>
      <c r="O5" s="575" t="s">
        <v>259</v>
      </c>
      <c r="P5" s="576"/>
      <c r="Q5" s="576"/>
      <c r="R5" s="577" t="s">
        <v>260</v>
      </c>
      <c r="S5" s="577"/>
      <c r="T5" s="577"/>
      <c r="U5" s="287"/>
      <c r="V5" s="572" t="s">
        <v>34</v>
      </c>
      <c r="W5" s="572"/>
      <c r="X5" s="572" t="s">
        <v>261</v>
      </c>
      <c r="Y5" s="572"/>
      <c r="Z5" s="572" t="s">
        <v>262</v>
      </c>
      <c r="AA5" s="578"/>
      <c r="AB5" s="287"/>
      <c r="AC5" s="582" t="s">
        <v>263</v>
      </c>
      <c r="AD5" s="583"/>
      <c r="AE5" s="291"/>
      <c r="AF5" s="292"/>
      <c r="AG5" s="582" t="s">
        <v>264</v>
      </c>
      <c r="AH5" s="582"/>
      <c r="AI5" s="293"/>
      <c r="AJ5" s="294"/>
      <c r="AK5" s="295" t="s">
        <v>265</v>
      </c>
      <c r="AL5" s="296" t="s">
        <v>266</v>
      </c>
      <c r="AN5" s="298"/>
      <c r="AO5" s="570">
        <v>1</v>
      </c>
      <c r="AP5" s="570"/>
      <c r="AQ5" s="569">
        <v>2</v>
      </c>
      <c r="AR5" s="569"/>
      <c r="AS5" s="569">
        <v>3</v>
      </c>
      <c r="AT5" s="569"/>
      <c r="AU5" s="569">
        <v>4</v>
      </c>
      <c r="AV5" s="569"/>
      <c r="AW5" s="569">
        <v>5</v>
      </c>
      <c r="AX5" s="569"/>
      <c r="AY5" s="299"/>
    </row>
    <row r="6" spans="1:51" s="297" customFormat="1" x14ac:dyDescent="0.3">
      <c r="A6" s="284"/>
      <c r="B6" s="300" t="s">
        <v>267</v>
      </c>
      <c r="C6" s="301" t="s">
        <v>268</v>
      </c>
      <c r="D6" s="302" t="s">
        <v>269</v>
      </c>
      <c r="E6" s="303" t="s">
        <v>270</v>
      </c>
      <c r="F6" s="304" t="s">
        <v>271</v>
      </c>
      <c r="G6" s="305" t="s">
        <v>272</v>
      </c>
      <c r="H6" s="300" t="s">
        <v>273</v>
      </c>
      <c r="I6" s="306" t="s">
        <v>274</v>
      </c>
      <c r="J6" s="307" t="s">
        <v>267</v>
      </c>
      <c r="K6" s="308" t="s">
        <v>275</v>
      </c>
      <c r="L6" s="307" t="s">
        <v>267</v>
      </c>
      <c r="M6" s="309" t="s">
        <v>275</v>
      </c>
      <c r="N6" s="305" t="s">
        <v>276</v>
      </c>
      <c r="O6" s="310" t="s">
        <v>277</v>
      </c>
      <c r="P6" s="310" t="s">
        <v>278</v>
      </c>
      <c r="Q6" s="310" t="s">
        <v>279</v>
      </c>
      <c r="R6" s="290" t="s">
        <v>280</v>
      </c>
      <c r="S6" s="290" t="s">
        <v>281</v>
      </c>
      <c r="T6" s="290" t="s">
        <v>282</v>
      </c>
      <c r="U6" s="311" t="s">
        <v>283</v>
      </c>
      <c r="V6" s="312" t="s">
        <v>284</v>
      </c>
      <c r="W6" s="313" t="s">
        <v>4</v>
      </c>
      <c r="X6" s="314" t="s">
        <v>285</v>
      </c>
      <c r="Y6" s="313" t="s">
        <v>4</v>
      </c>
      <c r="Z6" s="315" t="s">
        <v>285</v>
      </c>
      <c r="AA6" s="316" t="s">
        <v>4</v>
      </c>
      <c r="AB6" s="311" t="s">
        <v>286</v>
      </c>
      <c r="AC6" s="317" t="s">
        <v>2</v>
      </c>
      <c r="AD6" s="318" t="s">
        <v>4</v>
      </c>
      <c r="AE6" s="311" t="s">
        <v>287</v>
      </c>
      <c r="AF6" s="319" t="s">
        <v>288</v>
      </c>
      <c r="AG6" s="320" t="s">
        <v>27</v>
      </c>
      <c r="AH6" s="302" t="s">
        <v>289</v>
      </c>
      <c r="AI6" s="321" t="s">
        <v>4</v>
      </c>
      <c r="AJ6" s="322" t="s">
        <v>290</v>
      </c>
      <c r="AK6" s="323" t="s">
        <v>291</v>
      </c>
      <c r="AL6" s="324" t="s">
        <v>292</v>
      </c>
      <c r="AN6" s="325" t="s">
        <v>293</v>
      </c>
      <c r="AO6" s="326"/>
      <c r="AP6" s="326"/>
      <c r="AQ6" s="326"/>
      <c r="AR6" s="326"/>
      <c r="AS6" s="326"/>
      <c r="AT6" s="326"/>
      <c r="AU6" s="326"/>
      <c r="AV6" s="326"/>
      <c r="AW6" s="326"/>
      <c r="AX6" s="326"/>
      <c r="AY6" s="327"/>
    </row>
    <row r="7" spans="1:51" ht="13.2" x14ac:dyDescent="0.3">
      <c r="B7" s="535">
        <v>9.9999999999999995E-7</v>
      </c>
      <c r="C7" s="439">
        <v>20</v>
      </c>
      <c r="D7" s="440">
        <v>40</v>
      </c>
      <c r="E7" s="439">
        <v>100</v>
      </c>
      <c r="F7" s="440">
        <v>15</v>
      </c>
      <c r="G7" s="536">
        <v>1E-8</v>
      </c>
      <c r="H7" s="442" t="s">
        <v>356</v>
      </c>
      <c r="I7" s="443" t="s">
        <v>222</v>
      </c>
      <c r="J7" s="439">
        <v>6</v>
      </c>
      <c r="K7" s="440">
        <v>100</v>
      </c>
      <c r="L7" s="439">
        <v>12</v>
      </c>
      <c r="M7" s="440">
        <v>18</v>
      </c>
      <c r="N7" s="444">
        <v>14</v>
      </c>
      <c r="O7" s="432">
        <f>IF(N7=0,0,MIN(N7+J7-1,L7))</f>
        <v>12</v>
      </c>
      <c r="P7" s="432">
        <f>IF(O7=0,0,O7-J7+1)</f>
        <v>7</v>
      </c>
      <c r="Q7" s="433">
        <f t="shared" ref="Q7:Q30" si="0">IF(P7=0,0,K7/N7)</f>
        <v>7.1428571428571432</v>
      </c>
      <c r="R7" s="434">
        <f t="shared" ref="R7:R30" si="1" xml:space="preserve">   IF(        AND(N7=0,L7=0),61,    IF(         N7=0, L7, MIN(N7+J7-1,L7)))</f>
        <v>12</v>
      </c>
      <c r="S7" s="434">
        <f>K7-(P7*Q7)</f>
        <v>50</v>
      </c>
      <c r="T7" s="434">
        <f>M7-(K7-P7* Q7)</f>
        <v>-32</v>
      </c>
      <c r="U7" s="445" t="s">
        <v>294</v>
      </c>
      <c r="V7" s="446">
        <v>100</v>
      </c>
      <c r="W7" s="447">
        <v>0.06</v>
      </c>
      <c r="X7" s="448">
        <v>15</v>
      </c>
      <c r="Y7" s="447">
        <v>2.5000000000000001E-2</v>
      </c>
      <c r="Z7" s="449">
        <v>12</v>
      </c>
      <c r="AA7" s="450">
        <v>2.5000000000000001E-2</v>
      </c>
      <c r="AB7" s="451" t="s">
        <v>295</v>
      </c>
      <c r="AC7" s="439">
        <v>220</v>
      </c>
      <c r="AD7" s="452">
        <v>2.5000000000000001E-2</v>
      </c>
      <c r="AE7" s="453" t="s">
        <v>357</v>
      </c>
      <c r="AF7" s="454">
        <v>1</v>
      </c>
      <c r="AG7" s="455">
        <v>90</v>
      </c>
      <c r="AH7" s="456">
        <v>0.2</v>
      </c>
      <c r="AI7" s="441">
        <v>0.02</v>
      </c>
      <c r="AJ7" s="328" t="s">
        <v>377</v>
      </c>
      <c r="AK7" s="457">
        <v>0.05</v>
      </c>
      <c r="AL7" s="435">
        <v>0.05</v>
      </c>
      <c r="AN7" s="325" t="s">
        <v>296</v>
      </c>
      <c r="AO7" s="566">
        <f ca="1">Credit!$E43</f>
        <v>161.4895914706762</v>
      </c>
      <c r="AP7" s="567"/>
      <c r="AQ7" s="567">
        <f ca="1">Credit!$F43</f>
        <v>-161.4895914706762</v>
      </c>
      <c r="AR7" s="567"/>
      <c r="AS7" s="567">
        <f ca="1">Credit!$G43</f>
        <v>0</v>
      </c>
      <c r="AT7" s="567"/>
      <c r="AU7" s="567">
        <f ca="1">Credit!$H43</f>
        <v>0</v>
      </c>
      <c r="AV7" s="567"/>
      <c r="AW7" s="567">
        <f ca="1">Credit!$I43</f>
        <v>0</v>
      </c>
      <c r="AX7" s="568"/>
      <c r="AY7" s="329"/>
    </row>
    <row r="8" spans="1:51" ht="13.2" x14ac:dyDescent="0.3">
      <c r="B8" s="535">
        <v>6</v>
      </c>
      <c r="C8" s="429">
        <v>10</v>
      </c>
      <c r="D8" s="430">
        <v>15</v>
      </c>
      <c r="E8" s="429"/>
      <c r="F8" s="430">
        <v>25</v>
      </c>
      <c r="G8" s="536">
        <v>0.1</v>
      </c>
      <c r="H8" s="427" t="s">
        <v>353</v>
      </c>
      <c r="I8" s="428" t="s">
        <v>220</v>
      </c>
      <c r="J8" s="429">
        <v>1</v>
      </c>
      <c r="K8" s="430">
        <v>40</v>
      </c>
      <c r="L8" s="429">
        <v>55</v>
      </c>
      <c r="M8" s="430">
        <v>15</v>
      </c>
      <c r="N8" s="431">
        <v>10</v>
      </c>
      <c r="O8" s="432">
        <f t="shared" ref="O8:O16" si="2">IF(N8=0,0,MIN(N8+J8-1,L8))</f>
        <v>10</v>
      </c>
      <c r="P8" s="432">
        <f t="shared" ref="P8:P16" si="3">IF(O8=0,0,O8-J8+1)</f>
        <v>10</v>
      </c>
      <c r="Q8" s="433">
        <f t="shared" ref="Q8:Q16" si="4">IF(P8=0,0,K8/N8)</f>
        <v>4</v>
      </c>
      <c r="R8" s="434">
        <f t="shared" ref="R8:R16" si="5" xml:space="preserve">   IF(        AND(N8=0,L8=0),61,    IF(         N8=0, L8, MIN(N8+J8-1,L8)))</f>
        <v>10</v>
      </c>
      <c r="S8" s="434">
        <f t="shared" ref="S8:S16" si="6">K8-(P8*Q8)</f>
        <v>0</v>
      </c>
      <c r="T8" s="434">
        <f t="shared" ref="T8:T16" si="7">M8-(K8-P8* Q8)</f>
        <v>15</v>
      </c>
      <c r="U8" s="537" t="s">
        <v>354</v>
      </c>
      <c r="V8" s="429">
        <v>210</v>
      </c>
      <c r="W8" s="538">
        <v>7.0000000000000007E-2</v>
      </c>
      <c r="X8" s="539">
        <v>12</v>
      </c>
      <c r="Y8" s="538">
        <v>0.04</v>
      </c>
      <c r="Z8" s="540">
        <v>9</v>
      </c>
      <c r="AA8" s="541">
        <v>3.5000000000000003E-2</v>
      </c>
      <c r="AB8" s="537" t="s">
        <v>355</v>
      </c>
      <c r="AC8" s="429">
        <v>180</v>
      </c>
      <c r="AD8" s="541">
        <v>0.02</v>
      </c>
      <c r="AE8" s="542" t="s">
        <v>358</v>
      </c>
      <c r="AF8" s="543">
        <v>1</v>
      </c>
      <c r="AG8" s="544">
        <v>70</v>
      </c>
      <c r="AH8" s="545">
        <v>0.15</v>
      </c>
      <c r="AI8" s="536">
        <v>0.01</v>
      </c>
      <c r="AJ8" s="328" t="s">
        <v>378</v>
      </c>
      <c r="AK8" s="458">
        <v>0.5</v>
      </c>
      <c r="AL8" s="436">
        <v>0.5</v>
      </c>
      <c r="AN8" s="325" t="s">
        <v>297</v>
      </c>
      <c r="AO8" s="554">
        <f ca="1">Credit!$E45</f>
        <v>161.4895914706762</v>
      </c>
      <c r="AP8" s="555"/>
      <c r="AQ8" s="555">
        <f ca="1">Credit!$F45</f>
        <v>0</v>
      </c>
      <c r="AR8" s="555"/>
      <c r="AS8" s="555">
        <f ca="1">Credit!$G45</f>
        <v>0</v>
      </c>
      <c r="AT8" s="555"/>
      <c r="AU8" s="555">
        <f ca="1">Credit!$H45</f>
        <v>0</v>
      </c>
      <c r="AV8" s="555"/>
      <c r="AW8" s="555">
        <f ca="1">Credit!$I45</f>
        <v>0</v>
      </c>
      <c r="AX8" s="556"/>
      <c r="AY8" s="329"/>
    </row>
    <row r="9" spans="1:51" ht="13.2" x14ac:dyDescent="0.3">
      <c r="B9" s="535">
        <v>13</v>
      </c>
      <c r="C9" s="429">
        <v>0</v>
      </c>
      <c r="D9" s="430">
        <v>60</v>
      </c>
      <c r="E9" s="429">
        <v>20</v>
      </c>
      <c r="F9" s="430">
        <v>30</v>
      </c>
      <c r="G9" s="536">
        <v>0.05</v>
      </c>
      <c r="H9" s="427" t="s">
        <v>223</v>
      </c>
      <c r="I9" s="428" t="s">
        <v>223</v>
      </c>
      <c r="J9" s="429">
        <v>3</v>
      </c>
      <c r="K9" s="430">
        <v>50</v>
      </c>
      <c r="L9" s="429">
        <v>58</v>
      </c>
      <c r="M9" s="430">
        <v>45</v>
      </c>
      <c r="N9" s="431"/>
      <c r="O9" s="432">
        <f t="shared" si="2"/>
        <v>0</v>
      </c>
      <c r="P9" s="432">
        <f t="shared" si="3"/>
        <v>0</v>
      </c>
      <c r="Q9" s="433">
        <f t="shared" si="4"/>
        <v>0</v>
      </c>
      <c r="R9" s="434">
        <f t="shared" si="5"/>
        <v>58</v>
      </c>
      <c r="S9" s="434">
        <f t="shared" si="6"/>
        <v>50</v>
      </c>
      <c r="T9" s="434">
        <f t="shared" si="7"/>
        <v>-5</v>
      </c>
      <c r="U9" s="537" t="s">
        <v>359</v>
      </c>
      <c r="V9" s="429">
        <v>320</v>
      </c>
      <c r="W9" s="538">
        <v>0.04</v>
      </c>
      <c r="X9" s="539">
        <v>5.0999999999999996</v>
      </c>
      <c r="Y9" s="538">
        <v>3.9E-2</v>
      </c>
      <c r="Z9" s="540">
        <v>3.46</v>
      </c>
      <c r="AA9" s="541">
        <v>0.01</v>
      </c>
      <c r="AB9" s="537" t="s">
        <v>360</v>
      </c>
      <c r="AC9" s="429">
        <v>100</v>
      </c>
      <c r="AD9" s="541">
        <v>0.05</v>
      </c>
      <c r="AE9" s="542" t="s">
        <v>361</v>
      </c>
      <c r="AF9" s="543">
        <v>2</v>
      </c>
      <c r="AG9" s="544">
        <v>60</v>
      </c>
      <c r="AH9" s="545">
        <v>0.1</v>
      </c>
      <c r="AI9" s="536">
        <v>0.01</v>
      </c>
      <c r="AJ9" s="328" t="s">
        <v>379</v>
      </c>
      <c r="AK9" s="458">
        <v>0.4</v>
      </c>
      <c r="AL9" s="436">
        <v>0.4</v>
      </c>
      <c r="AN9" s="330" t="s">
        <v>298</v>
      </c>
      <c r="AO9" s="331"/>
      <c r="AP9" s="331"/>
      <c r="AQ9" s="331"/>
      <c r="AR9" s="331"/>
      <c r="AS9" s="331"/>
      <c r="AT9" s="331"/>
      <c r="AU9" s="331"/>
      <c r="AV9" s="331"/>
      <c r="AW9" s="331"/>
      <c r="AX9" s="331"/>
      <c r="AY9" s="329"/>
    </row>
    <row r="10" spans="1:51" ht="13.2" x14ac:dyDescent="0.3">
      <c r="B10" s="348"/>
      <c r="C10" s="349"/>
      <c r="D10" s="350"/>
      <c r="E10" s="349"/>
      <c r="F10" s="350"/>
      <c r="G10" s="351"/>
      <c r="H10" s="352"/>
      <c r="I10" s="353"/>
      <c r="J10" s="349"/>
      <c r="K10" s="350"/>
      <c r="L10" s="349"/>
      <c r="M10" s="350"/>
      <c r="N10" s="354"/>
      <c r="O10" s="432">
        <f t="shared" si="2"/>
        <v>0</v>
      </c>
      <c r="P10" s="432">
        <f t="shared" si="3"/>
        <v>0</v>
      </c>
      <c r="Q10" s="433">
        <f t="shared" si="4"/>
        <v>0</v>
      </c>
      <c r="R10" s="434">
        <f t="shared" si="5"/>
        <v>61</v>
      </c>
      <c r="S10" s="434">
        <f t="shared" si="6"/>
        <v>0</v>
      </c>
      <c r="T10" s="434">
        <f t="shared" si="7"/>
        <v>0</v>
      </c>
      <c r="U10" s="358"/>
      <c r="V10" s="349"/>
      <c r="W10" s="359"/>
      <c r="X10" s="360"/>
      <c r="Y10" s="359"/>
      <c r="Z10" s="361"/>
      <c r="AA10" s="362"/>
      <c r="AB10" s="358"/>
      <c r="AC10" s="349"/>
      <c r="AD10" s="362"/>
      <c r="AE10" s="363"/>
      <c r="AF10" s="364"/>
      <c r="AG10" s="365"/>
      <c r="AH10" s="366"/>
      <c r="AI10" s="351"/>
      <c r="AJ10" s="328" t="s">
        <v>380</v>
      </c>
      <c r="AK10" s="458">
        <v>0.05</v>
      </c>
      <c r="AL10" s="436">
        <v>0.05</v>
      </c>
      <c r="AN10" s="325" t="s">
        <v>299</v>
      </c>
      <c r="AO10" s="566">
        <f>CapEx!$E12</f>
        <v>190</v>
      </c>
      <c r="AP10" s="567"/>
      <c r="AQ10" s="567">
        <f>CapEx!$F12</f>
        <v>0</v>
      </c>
      <c r="AR10" s="567"/>
      <c r="AS10" s="567">
        <f>CapEx!$G12</f>
        <v>0</v>
      </c>
      <c r="AT10" s="567"/>
      <c r="AU10" s="567">
        <f>CapEx!$H12</f>
        <v>0</v>
      </c>
      <c r="AV10" s="567"/>
      <c r="AW10" s="567">
        <f>CapEx!$I12</f>
        <v>0</v>
      </c>
      <c r="AX10" s="568"/>
      <c r="AY10" s="329"/>
    </row>
    <row r="11" spans="1:51" ht="13.2" x14ac:dyDescent="0.3">
      <c r="B11" s="348"/>
      <c r="C11" s="349"/>
      <c r="D11" s="350"/>
      <c r="E11" s="349"/>
      <c r="F11" s="350"/>
      <c r="G11" s="351"/>
      <c r="H11" s="352"/>
      <c r="I11" s="353"/>
      <c r="J11" s="349"/>
      <c r="K11" s="350"/>
      <c r="L11" s="349"/>
      <c r="M11" s="350"/>
      <c r="N11" s="354"/>
      <c r="O11" s="432">
        <f t="shared" si="2"/>
        <v>0</v>
      </c>
      <c r="P11" s="432">
        <f t="shared" si="3"/>
        <v>0</v>
      </c>
      <c r="Q11" s="433">
        <f t="shared" si="4"/>
        <v>0</v>
      </c>
      <c r="R11" s="434">
        <f t="shared" si="5"/>
        <v>61</v>
      </c>
      <c r="S11" s="434">
        <f t="shared" si="6"/>
        <v>0</v>
      </c>
      <c r="T11" s="434">
        <f t="shared" si="7"/>
        <v>0</v>
      </c>
      <c r="U11" s="358"/>
      <c r="V11" s="349"/>
      <c r="W11" s="359"/>
      <c r="X11" s="360"/>
      <c r="Y11" s="359"/>
      <c r="Z11" s="361"/>
      <c r="AA11" s="362"/>
      <c r="AB11" s="358"/>
      <c r="AC11" s="349"/>
      <c r="AD11" s="362"/>
      <c r="AE11" s="363"/>
      <c r="AF11" s="364"/>
      <c r="AG11" s="365"/>
      <c r="AH11" s="366"/>
      <c r="AI11" s="351"/>
      <c r="AJ11" s="332" t="s">
        <v>381</v>
      </c>
      <c r="AK11" s="333">
        <v>1</v>
      </c>
      <c r="AL11" s="334">
        <v>1</v>
      </c>
      <c r="AN11" s="325" t="s">
        <v>300</v>
      </c>
      <c r="AO11" s="554">
        <f>CapEx!$E20</f>
        <v>89.999999999999986</v>
      </c>
      <c r="AP11" s="555"/>
      <c r="AQ11" s="555">
        <f>CapEx!$F20</f>
        <v>0</v>
      </c>
      <c r="AR11" s="555"/>
      <c r="AS11" s="555">
        <f>CapEx!$G20</f>
        <v>0</v>
      </c>
      <c r="AT11" s="555"/>
      <c r="AU11" s="555">
        <f>CapEx!$H20</f>
        <v>0</v>
      </c>
      <c r="AV11" s="555"/>
      <c r="AW11" s="555">
        <f>CapEx!$I20</f>
        <v>0</v>
      </c>
      <c r="AX11" s="556"/>
      <c r="AY11" s="329"/>
    </row>
    <row r="12" spans="1:51" ht="12.6" customHeight="1" x14ac:dyDescent="0.3">
      <c r="B12" s="348"/>
      <c r="C12" s="349"/>
      <c r="D12" s="350"/>
      <c r="E12" s="349"/>
      <c r="F12" s="350"/>
      <c r="G12" s="351"/>
      <c r="H12" s="352"/>
      <c r="I12" s="353"/>
      <c r="J12" s="349"/>
      <c r="K12" s="350"/>
      <c r="L12" s="349"/>
      <c r="M12" s="350"/>
      <c r="N12" s="354"/>
      <c r="O12" s="432">
        <f t="shared" si="2"/>
        <v>0</v>
      </c>
      <c r="P12" s="432">
        <f t="shared" si="3"/>
        <v>0</v>
      </c>
      <c r="Q12" s="433">
        <f t="shared" si="4"/>
        <v>0</v>
      </c>
      <c r="R12" s="434">
        <f t="shared" si="5"/>
        <v>61</v>
      </c>
      <c r="S12" s="434">
        <f t="shared" si="6"/>
        <v>0</v>
      </c>
      <c r="T12" s="434">
        <f t="shared" si="7"/>
        <v>0</v>
      </c>
      <c r="U12" s="358"/>
      <c r="V12" s="349"/>
      <c r="W12" s="359"/>
      <c r="X12" s="360"/>
      <c r="Y12" s="359"/>
      <c r="Z12" s="361"/>
      <c r="AA12" s="362"/>
      <c r="AB12" s="358"/>
      <c r="AC12" s="349"/>
      <c r="AD12" s="362"/>
      <c r="AE12" s="363"/>
      <c r="AF12" s="364"/>
      <c r="AG12" s="365"/>
      <c r="AH12" s="366"/>
      <c r="AI12" s="351"/>
      <c r="AJ12" s="335"/>
      <c r="AK12" s="336"/>
      <c r="AL12" s="337"/>
      <c r="AN12" s="325" t="s">
        <v>301</v>
      </c>
      <c r="AO12" s="331"/>
      <c r="AP12" s="331"/>
      <c r="AQ12" s="331"/>
      <c r="AR12" s="331"/>
      <c r="AS12" s="331"/>
      <c r="AT12" s="331"/>
      <c r="AU12" s="331"/>
      <c r="AV12" s="331"/>
      <c r="AW12" s="331"/>
      <c r="AX12" s="331"/>
      <c r="AY12" s="329"/>
    </row>
    <row r="13" spans="1:51" ht="12.6" customHeight="1" x14ac:dyDescent="0.3">
      <c r="B13" s="348"/>
      <c r="C13" s="349"/>
      <c r="D13" s="350"/>
      <c r="E13" s="349"/>
      <c r="F13" s="350"/>
      <c r="G13" s="351"/>
      <c r="H13" s="352"/>
      <c r="I13" s="353"/>
      <c r="J13" s="349"/>
      <c r="K13" s="350"/>
      <c r="L13" s="349"/>
      <c r="M13" s="350"/>
      <c r="N13" s="354"/>
      <c r="O13" s="432">
        <f t="shared" si="2"/>
        <v>0</v>
      </c>
      <c r="P13" s="432">
        <f t="shared" si="3"/>
        <v>0</v>
      </c>
      <c r="Q13" s="433">
        <f t="shared" si="4"/>
        <v>0</v>
      </c>
      <c r="R13" s="434">
        <f t="shared" si="5"/>
        <v>61</v>
      </c>
      <c r="S13" s="434">
        <f t="shared" si="6"/>
        <v>0</v>
      </c>
      <c r="T13" s="434">
        <f t="shared" si="7"/>
        <v>0</v>
      </c>
      <c r="U13" s="358"/>
      <c r="V13" s="349"/>
      <c r="W13" s="359"/>
      <c r="X13" s="360"/>
      <c r="Y13" s="359"/>
      <c r="Z13" s="361"/>
      <c r="AA13" s="362"/>
      <c r="AB13" s="358"/>
      <c r="AC13" s="349"/>
      <c r="AD13" s="362"/>
      <c r="AE13" s="363"/>
      <c r="AF13" s="364"/>
      <c r="AG13" s="365"/>
      <c r="AH13" s="366"/>
      <c r="AI13" s="351"/>
      <c r="AJ13" s="560" t="s">
        <v>77</v>
      </c>
      <c r="AK13" s="561"/>
      <c r="AL13" s="562"/>
      <c r="AN13" s="325" t="s">
        <v>302</v>
      </c>
      <c r="AO13" s="566">
        <f ca="1">Income!$E7</f>
        <v>5569.9439058338949</v>
      </c>
      <c r="AP13" s="567"/>
      <c r="AQ13" s="567">
        <f ca="1">Income!$F7</f>
        <v>6058.7187124938164</v>
      </c>
      <c r="AR13" s="567"/>
      <c r="AS13" s="567">
        <f ca="1">Income!$G7</f>
        <v>6590.3845815529903</v>
      </c>
      <c r="AT13" s="567"/>
      <c r="AU13" s="567">
        <f ca="1">Income!$H7</f>
        <v>7168.7052979051286</v>
      </c>
      <c r="AV13" s="567"/>
      <c r="AW13" s="567">
        <f ca="1">Income!$I7</f>
        <v>7797.7749268318439</v>
      </c>
      <c r="AX13" s="568"/>
      <c r="AY13" s="329"/>
    </row>
    <row r="14" spans="1:51" ht="13.8" customHeight="1" x14ac:dyDescent="0.3">
      <c r="B14" s="348"/>
      <c r="C14" s="349"/>
      <c r="D14" s="350"/>
      <c r="E14" s="349"/>
      <c r="F14" s="350"/>
      <c r="G14" s="351"/>
      <c r="H14" s="352"/>
      <c r="I14" s="353"/>
      <c r="J14" s="349"/>
      <c r="K14" s="350"/>
      <c r="L14" s="349"/>
      <c r="M14" s="350"/>
      <c r="N14" s="354"/>
      <c r="O14" s="432">
        <f t="shared" si="2"/>
        <v>0</v>
      </c>
      <c r="P14" s="432">
        <f t="shared" si="3"/>
        <v>0</v>
      </c>
      <c r="Q14" s="433">
        <f t="shared" si="4"/>
        <v>0</v>
      </c>
      <c r="R14" s="434">
        <f t="shared" si="5"/>
        <v>61</v>
      </c>
      <c r="S14" s="434">
        <f t="shared" si="6"/>
        <v>0</v>
      </c>
      <c r="T14" s="434">
        <f t="shared" si="7"/>
        <v>0</v>
      </c>
      <c r="U14" s="358"/>
      <c r="V14" s="349"/>
      <c r="W14" s="359"/>
      <c r="X14" s="360"/>
      <c r="Y14" s="359"/>
      <c r="Z14" s="361"/>
      <c r="AA14" s="362"/>
      <c r="AB14" s="358"/>
      <c r="AC14" s="349"/>
      <c r="AD14" s="362"/>
      <c r="AE14" s="363"/>
      <c r="AF14" s="364"/>
      <c r="AG14" s="365"/>
      <c r="AH14" s="366"/>
      <c r="AI14" s="351"/>
      <c r="AJ14" s="338" t="s">
        <v>367</v>
      </c>
      <c r="AK14" s="339"/>
      <c r="AL14" s="340"/>
      <c r="AN14" s="325" t="s">
        <v>303</v>
      </c>
      <c r="AO14" s="563">
        <f ca="1">Income!$E8</f>
        <v>4147.6628414001207</v>
      </c>
      <c r="AP14" s="564"/>
      <c r="AQ14" s="564">
        <f ca="1">Income!$F8</f>
        <v>4484.2226222589534</v>
      </c>
      <c r="AR14" s="564"/>
      <c r="AS14" s="564">
        <f ca="1">Income!$G8</f>
        <v>4848.0923582474816</v>
      </c>
      <c r="AT14" s="564"/>
      <c r="AU14" s="564">
        <f ca="1">Income!$H8</f>
        <v>5241.4881003961727</v>
      </c>
      <c r="AV14" s="564"/>
      <c r="AW14" s="564">
        <f ca="1">Income!$I8</f>
        <v>5666.8057199565937</v>
      </c>
      <c r="AX14" s="565"/>
      <c r="AY14" s="329"/>
    </row>
    <row r="15" spans="1:51" ht="13.2" x14ac:dyDescent="0.3">
      <c r="B15" s="348"/>
      <c r="C15" s="349"/>
      <c r="D15" s="350"/>
      <c r="E15" s="349"/>
      <c r="F15" s="350"/>
      <c r="G15" s="351"/>
      <c r="H15" s="352"/>
      <c r="I15" s="353"/>
      <c r="J15" s="349"/>
      <c r="K15" s="350"/>
      <c r="L15" s="349"/>
      <c r="M15" s="350"/>
      <c r="N15" s="354"/>
      <c r="O15" s="432">
        <f t="shared" si="2"/>
        <v>0</v>
      </c>
      <c r="P15" s="432">
        <f t="shared" si="3"/>
        <v>0</v>
      </c>
      <c r="Q15" s="433">
        <f t="shared" si="4"/>
        <v>0</v>
      </c>
      <c r="R15" s="434">
        <f t="shared" si="5"/>
        <v>61</v>
      </c>
      <c r="S15" s="434">
        <f t="shared" si="6"/>
        <v>0</v>
      </c>
      <c r="T15" s="434">
        <f t="shared" si="7"/>
        <v>0</v>
      </c>
      <c r="U15" s="358"/>
      <c r="V15" s="349"/>
      <c r="W15" s="359"/>
      <c r="X15" s="360"/>
      <c r="Y15" s="359"/>
      <c r="Z15" s="361"/>
      <c r="AA15" s="362"/>
      <c r="AB15" s="358"/>
      <c r="AC15" s="349"/>
      <c r="AD15" s="362"/>
      <c r="AE15" s="363"/>
      <c r="AF15" s="364"/>
      <c r="AG15" s="365"/>
      <c r="AH15" s="366"/>
      <c r="AI15" s="351"/>
      <c r="AJ15" s="328" t="s">
        <v>368</v>
      </c>
      <c r="AK15" s="341"/>
      <c r="AL15" s="459">
        <v>7.0000000000000007E-2</v>
      </c>
      <c r="AN15" s="325" t="s">
        <v>304</v>
      </c>
      <c r="AO15" s="563">
        <f>Income!$E11</f>
        <v>404.5</v>
      </c>
      <c r="AP15" s="564"/>
      <c r="AQ15" s="564">
        <f>Income!$F11</f>
        <v>409.84517857142856</v>
      </c>
      <c r="AR15" s="564"/>
      <c r="AS15" s="564">
        <f>Income!$G11</f>
        <v>415.26098985969384</v>
      </c>
      <c r="AT15" s="564"/>
      <c r="AU15" s="564">
        <f>Income!$H11</f>
        <v>420.74836722569688</v>
      </c>
      <c r="AV15" s="564"/>
      <c r="AW15" s="564">
        <f>Income!$I11</f>
        <v>426.30825636403637</v>
      </c>
      <c r="AX15" s="565"/>
      <c r="AY15" s="329"/>
    </row>
    <row r="16" spans="1:51" ht="13.2" x14ac:dyDescent="0.3">
      <c r="A16" s="19"/>
      <c r="B16" s="348"/>
      <c r="C16" s="349"/>
      <c r="D16" s="350"/>
      <c r="E16" s="349"/>
      <c r="F16" s="350"/>
      <c r="G16" s="351"/>
      <c r="H16" s="352"/>
      <c r="I16" s="353"/>
      <c r="J16" s="349"/>
      <c r="K16" s="350"/>
      <c r="L16" s="349"/>
      <c r="M16" s="350"/>
      <c r="N16" s="354"/>
      <c r="O16" s="432">
        <f t="shared" si="2"/>
        <v>0</v>
      </c>
      <c r="P16" s="432">
        <f t="shared" si="3"/>
        <v>0</v>
      </c>
      <c r="Q16" s="433">
        <f t="shared" si="4"/>
        <v>0</v>
      </c>
      <c r="R16" s="434">
        <f t="shared" si="5"/>
        <v>61</v>
      </c>
      <c r="S16" s="434">
        <f t="shared" si="6"/>
        <v>0</v>
      </c>
      <c r="T16" s="434">
        <f t="shared" si="7"/>
        <v>0</v>
      </c>
      <c r="U16" s="358"/>
      <c r="V16" s="349"/>
      <c r="W16" s="359"/>
      <c r="X16" s="360"/>
      <c r="Y16" s="359"/>
      <c r="Z16" s="361"/>
      <c r="AA16" s="362"/>
      <c r="AB16" s="358"/>
      <c r="AC16" s="349"/>
      <c r="AD16" s="362"/>
      <c r="AE16" s="363"/>
      <c r="AF16" s="364"/>
      <c r="AG16" s="365"/>
      <c r="AH16" s="366"/>
      <c r="AI16" s="351"/>
      <c r="AJ16" s="328" t="s">
        <v>369</v>
      </c>
      <c r="AK16" s="341"/>
      <c r="AL16" s="437">
        <v>8.5000000000000006E-2</v>
      </c>
      <c r="AN16" s="325" t="s">
        <v>305</v>
      </c>
      <c r="AO16" s="563">
        <f>Income!$E12</f>
        <v>500</v>
      </c>
      <c r="AP16" s="564"/>
      <c r="AQ16" s="564">
        <f>Income!$F12</f>
        <v>514.1</v>
      </c>
      <c r="AR16" s="564"/>
      <c r="AS16" s="564">
        <f>Income!$G12</f>
        <v>528.59762000000001</v>
      </c>
      <c r="AT16" s="564"/>
      <c r="AU16" s="564">
        <f>Income!$H12</f>
        <v>543.50407288400004</v>
      </c>
      <c r="AV16" s="564"/>
      <c r="AW16" s="564">
        <f>Income!$I12</f>
        <v>558.83088773932877</v>
      </c>
      <c r="AX16" s="565"/>
      <c r="AY16" s="329"/>
    </row>
    <row r="17" spans="1:51" ht="13.2" x14ac:dyDescent="0.3">
      <c r="A17" s="19"/>
      <c r="B17" s="348"/>
      <c r="C17" s="349"/>
      <c r="D17" s="350"/>
      <c r="E17" s="349"/>
      <c r="F17" s="350"/>
      <c r="G17" s="351"/>
      <c r="H17" s="352"/>
      <c r="I17" s="353"/>
      <c r="J17" s="349"/>
      <c r="K17" s="350"/>
      <c r="L17" s="349"/>
      <c r="M17" s="350"/>
      <c r="N17" s="354"/>
      <c r="O17" s="355">
        <f t="shared" ref="O17:O30" si="8">IF(N17=0,0,MIN(N17+J17-1,L17))</f>
        <v>0</v>
      </c>
      <c r="P17" s="355">
        <f t="shared" ref="P17:P30" si="9">IF(O17=0,0,O17-J17+1)</f>
        <v>0</v>
      </c>
      <c r="Q17" s="356">
        <f t="shared" si="0"/>
        <v>0</v>
      </c>
      <c r="R17" s="357">
        <f t="shared" si="1"/>
        <v>61</v>
      </c>
      <c r="S17" s="357">
        <f t="shared" ref="S17:S30" si="10">K17-(P17*Q17)</f>
        <v>0</v>
      </c>
      <c r="T17" s="357">
        <f t="shared" ref="T17:T30" si="11">M17-(K17-P17* Q17)</f>
        <v>0</v>
      </c>
      <c r="U17" s="358"/>
      <c r="V17" s="349"/>
      <c r="W17" s="359"/>
      <c r="X17" s="360"/>
      <c r="Y17" s="359"/>
      <c r="Z17" s="361"/>
      <c r="AA17" s="362"/>
      <c r="AB17" s="358"/>
      <c r="AC17" s="349"/>
      <c r="AD17" s="362"/>
      <c r="AE17" s="363"/>
      <c r="AF17" s="364"/>
      <c r="AG17" s="365"/>
      <c r="AH17" s="366"/>
      <c r="AI17" s="351"/>
      <c r="AJ17" s="328" t="s">
        <v>370</v>
      </c>
      <c r="AK17" s="341"/>
      <c r="AL17" s="437">
        <v>8.7499999999999994E-2</v>
      </c>
      <c r="AN17" s="325" t="s">
        <v>306</v>
      </c>
      <c r="AO17" s="563">
        <f ca="1">Income!$E24</f>
        <v>32.162252299247584</v>
      </c>
      <c r="AP17" s="564"/>
      <c r="AQ17" s="564">
        <f ca="1">Income!$F24</f>
        <v>15.945357121082841</v>
      </c>
      <c r="AR17" s="564"/>
      <c r="AS17" s="564">
        <f ca="1">Income!$G24</f>
        <v>14.349999999999996</v>
      </c>
      <c r="AT17" s="564"/>
      <c r="AU17" s="564">
        <f ca="1">Income!$H24</f>
        <v>14.349999999999996</v>
      </c>
      <c r="AV17" s="564"/>
      <c r="AW17" s="564">
        <f ca="1">Income!$I24</f>
        <v>14.349999999999996</v>
      </c>
      <c r="AX17" s="565"/>
      <c r="AY17" s="329"/>
    </row>
    <row r="18" spans="1:51" ht="13.2" x14ac:dyDescent="0.3">
      <c r="A18" s="19"/>
      <c r="B18" s="348"/>
      <c r="C18" s="349"/>
      <c r="D18" s="350"/>
      <c r="E18" s="349"/>
      <c r="F18" s="350"/>
      <c r="G18" s="351"/>
      <c r="H18" s="352"/>
      <c r="I18" s="353"/>
      <c r="J18" s="349"/>
      <c r="K18" s="350"/>
      <c r="L18" s="349"/>
      <c r="M18" s="350"/>
      <c r="N18" s="354"/>
      <c r="O18" s="355">
        <f t="shared" si="8"/>
        <v>0</v>
      </c>
      <c r="P18" s="355">
        <f t="shared" si="9"/>
        <v>0</v>
      </c>
      <c r="Q18" s="356">
        <f t="shared" si="0"/>
        <v>0</v>
      </c>
      <c r="R18" s="357">
        <f t="shared" si="1"/>
        <v>61</v>
      </c>
      <c r="S18" s="357">
        <f t="shared" si="10"/>
        <v>0</v>
      </c>
      <c r="T18" s="357">
        <f t="shared" si="11"/>
        <v>0</v>
      </c>
      <c r="U18" s="358"/>
      <c r="V18" s="349"/>
      <c r="W18" s="359"/>
      <c r="X18" s="360"/>
      <c r="Y18" s="359"/>
      <c r="Z18" s="361"/>
      <c r="AA18" s="362"/>
      <c r="AB18" s="358"/>
      <c r="AC18" s="349"/>
      <c r="AD18" s="362"/>
      <c r="AE18" s="363"/>
      <c r="AF18" s="364"/>
      <c r="AG18" s="365"/>
      <c r="AH18" s="366"/>
      <c r="AI18" s="351"/>
      <c r="AJ18" s="328" t="s">
        <v>371</v>
      </c>
      <c r="AK18" s="341"/>
      <c r="AL18" s="436">
        <v>0.105</v>
      </c>
      <c r="AN18" s="325" t="s">
        <v>307</v>
      </c>
      <c r="AO18" s="554">
        <f ca="1">Income!$E26</f>
        <v>151.33196041070914</v>
      </c>
      <c r="AP18" s="555"/>
      <c r="AQ18" s="555">
        <f ca="1">Income!$F26</f>
        <v>308.05870817548504</v>
      </c>
      <c r="AR18" s="555"/>
      <c r="AS18" s="555">
        <f ca="1">Income!$G26</f>
        <v>391.36555308885227</v>
      </c>
      <c r="AT18" s="555"/>
      <c r="AU18" s="555">
        <f ca="1">Income!$H26</f>
        <v>483.14439086469434</v>
      </c>
      <c r="AV18" s="555"/>
      <c r="AW18" s="555">
        <f ca="1">Income!$I26</f>
        <v>591.31473854114824</v>
      </c>
      <c r="AX18" s="556"/>
      <c r="AY18" s="329"/>
    </row>
    <row r="19" spans="1:51" ht="13.2" x14ac:dyDescent="0.3">
      <c r="A19" s="19"/>
      <c r="B19" s="348"/>
      <c r="C19" s="349"/>
      <c r="D19" s="350"/>
      <c r="E19" s="349"/>
      <c r="F19" s="350"/>
      <c r="G19" s="351"/>
      <c r="H19" s="352"/>
      <c r="I19" s="353"/>
      <c r="J19" s="349"/>
      <c r="K19" s="350"/>
      <c r="L19" s="349"/>
      <c r="M19" s="350"/>
      <c r="N19" s="354"/>
      <c r="O19" s="355">
        <f t="shared" si="8"/>
        <v>0</v>
      </c>
      <c r="P19" s="355">
        <f t="shared" si="9"/>
        <v>0</v>
      </c>
      <c r="Q19" s="356">
        <f t="shared" si="0"/>
        <v>0</v>
      </c>
      <c r="R19" s="357">
        <f t="shared" si="1"/>
        <v>61</v>
      </c>
      <c r="S19" s="357">
        <f t="shared" si="10"/>
        <v>0</v>
      </c>
      <c r="T19" s="357">
        <f t="shared" si="11"/>
        <v>0</v>
      </c>
      <c r="U19" s="358"/>
      <c r="V19" s="349"/>
      <c r="W19" s="359"/>
      <c r="X19" s="360"/>
      <c r="Y19" s="359"/>
      <c r="Z19" s="361"/>
      <c r="AA19" s="362"/>
      <c r="AB19" s="358"/>
      <c r="AC19" s="349"/>
      <c r="AD19" s="362"/>
      <c r="AE19" s="363"/>
      <c r="AF19" s="364"/>
      <c r="AG19" s="365"/>
      <c r="AH19" s="366"/>
      <c r="AI19" s="351"/>
      <c r="AJ19" s="328" t="s">
        <v>372</v>
      </c>
      <c r="AK19" s="341"/>
      <c r="AL19" s="342">
        <f ca="1">((RateCredit*Balance!F$20)+(RateShort*Balance!F$21)+(RateLong*Balance!F$23)+(RateEquity*SUM(Balance!F25:F26))) / SUM(Balance!F$20,Balance!F$21,Balance!F$23,Balance!F$25,Balance!F$26)</f>
        <v>8.8875302804408682E-2</v>
      </c>
      <c r="AN19" s="325" t="s">
        <v>308</v>
      </c>
      <c r="AO19" s="331"/>
      <c r="AP19" s="331"/>
      <c r="AQ19" s="331"/>
      <c r="AR19" s="331"/>
      <c r="AS19" s="331"/>
      <c r="AT19" s="331"/>
      <c r="AU19" s="331"/>
      <c r="AV19" s="331"/>
      <c r="AW19" s="331"/>
      <c r="AX19" s="331"/>
      <c r="AY19" s="329"/>
    </row>
    <row r="20" spans="1:51" ht="13.2" x14ac:dyDescent="0.3">
      <c r="A20" s="19"/>
      <c r="B20" s="348"/>
      <c r="C20" s="349"/>
      <c r="D20" s="350"/>
      <c r="E20" s="349"/>
      <c r="F20" s="350"/>
      <c r="G20" s="351"/>
      <c r="H20" s="352"/>
      <c r="I20" s="353"/>
      <c r="J20" s="349"/>
      <c r="K20" s="350"/>
      <c r="L20" s="349"/>
      <c r="M20" s="350"/>
      <c r="N20" s="354"/>
      <c r="O20" s="355">
        <f t="shared" si="8"/>
        <v>0</v>
      </c>
      <c r="P20" s="355">
        <f t="shared" si="9"/>
        <v>0</v>
      </c>
      <c r="Q20" s="356">
        <f t="shared" si="0"/>
        <v>0</v>
      </c>
      <c r="R20" s="357">
        <f t="shared" si="1"/>
        <v>61</v>
      </c>
      <c r="S20" s="357">
        <f t="shared" si="10"/>
        <v>0</v>
      </c>
      <c r="T20" s="357">
        <f t="shared" si="11"/>
        <v>0</v>
      </c>
      <c r="U20" s="358"/>
      <c r="V20" s="349"/>
      <c r="W20" s="359"/>
      <c r="X20" s="360"/>
      <c r="Y20" s="359"/>
      <c r="Z20" s="361"/>
      <c r="AA20" s="362"/>
      <c r="AB20" s="358"/>
      <c r="AC20" s="349"/>
      <c r="AD20" s="362"/>
      <c r="AE20" s="363"/>
      <c r="AF20" s="364"/>
      <c r="AG20" s="365"/>
      <c r="AH20" s="366"/>
      <c r="AI20" s="351"/>
      <c r="AJ20" s="343" t="s">
        <v>373</v>
      </c>
      <c r="AK20" s="339"/>
      <c r="AL20" s="340"/>
      <c r="AN20" s="325" t="s">
        <v>309</v>
      </c>
      <c r="AO20" s="566">
        <f ca="1">Balance!$E20</f>
        <v>1125.1343625525999</v>
      </c>
      <c r="AP20" s="567"/>
      <c r="AQ20" s="567">
        <f ca="1">Balance!$F20</f>
        <v>1422.1149465398018</v>
      </c>
      <c r="AR20" s="567"/>
      <c r="AS20" s="567">
        <f ca="1">Balance!$G20</f>
        <v>1865.7421287511725</v>
      </c>
      <c r="AT20" s="567"/>
      <c r="AU20" s="567">
        <f ca="1">Balance!$H20</f>
        <v>2405.3888893958074</v>
      </c>
      <c r="AV20" s="567"/>
      <c r="AW20" s="567">
        <f ca="1">Balance!$I20</f>
        <v>3057.7908509024855</v>
      </c>
      <c r="AX20" s="568"/>
      <c r="AY20" s="329"/>
    </row>
    <row r="21" spans="1:51" ht="13.2" x14ac:dyDescent="0.3">
      <c r="A21" s="19"/>
      <c r="B21" s="348"/>
      <c r="C21" s="349"/>
      <c r="D21" s="350"/>
      <c r="E21" s="349"/>
      <c r="F21" s="350"/>
      <c r="G21" s="351"/>
      <c r="H21" s="352"/>
      <c r="I21" s="353"/>
      <c r="J21" s="349"/>
      <c r="K21" s="350"/>
      <c r="L21" s="349"/>
      <c r="M21" s="350"/>
      <c r="N21" s="354"/>
      <c r="O21" s="355">
        <f t="shared" si="8"/>
        <v>0</v>
      </c>
      <c r="P21" s="355">
        <f t="shared" si="9"/>
        <v>0</v>
      </c>
      <c r="Q21" s="356">
        <f t="shared" si="0"/>
        <v>0</v>
      </c>
      <c r="R21" s="357">
        <f t="shared" si="1"/>
        <v>61</v>
      </c>
      <c r="S21" s="357">
        <f t="shared" si="10"/>
        <v>0</v>
      </c>
      <c r="T21" s="357">
        <f t="shared" si="11"/>
        <v>0</v>
      </c>
      <c r="U21" s="358"/>
      <c r="V21" s="349"/>
      <c r="W21" s="359"/>
      <c r="X21" s="360"/>
      <c r="Y21" s="359"/>
      <c r="Z21" s="361"/>
      <c r="AA21" s="362"/>
      <c r="AB21" s="358"/>
      <c r="AC21" s="349"/>
      <c r="AD21" s="362"/>
      <c r="AE21" s="363"/>
      <c r="AF21" s="364"/>
      <c r="AG21" s="365"/>
      <c r="AH21" s="366"/>
      <c r="AI21" s="351"/>
      <c r="AJ21" s="328" t="s">
        <v>374</v>
      </c>
      <c r="AK21" s="344"/>
      <c r="AL21" s="460">
        <v>5</v>
      </c>
      <c r="AN21" s="325" t="s">
        <v>310</v>
      </c>
      <c r="AO21" s="563">
        <f ca="1">Balance!$E26</f>
        <v>897.20722254439693</v>
      </c>
      <c r="AP21" s="564"/>
      <c r="AQ21" s="564">
        <f ca="1">Balance!$F26</f>
        <v>834.05680497345634</v>
      </c>
      <c r="AR21" s="564"/>
      <c r="AS21" s="564">
        <f ca="1">Balance!$G26</f>
        <v>886.31843409597468</v>
      </c>
      <c r="AT21" s="564"/>
      <c r="AU21" s="564">
        <f ca="1">Balance!$H26</f>
        <v>942.82080387591486</v>
      </c>
      <c r="AV21" s="564"/>
      <c r="AW21" s="564">
        <f ca="1">Balance!$I26</f>
        <v>1003.9080268414435</v>
      </c>
      <c r="AX21" s="565"/>
      <c r="AY21" s="329"/>
    </row>
    <row r="22" spans="1:51" ht="12.6" customHeight="1" x14ac:dyDescent="0.3">
      <c r="A22" s="19"/>
      <c r="B22" s="348"/>
      <c r="C22" s="349"/>
      <c r="D22" s="350"/>
      <c r="E22" s="349"/>
      <c r="F22" s="350"/>
      <c r="G22" s="351"/>
      <c r="H22" s="352"/>
      <c r="I22" s="353"/>
      <c r="J22" s="349"/>
      <c r="K22" s="350"/>
      <c r="L22" s="349"/>
      <c r="M22" s="350"/>
      <c r="N22" s="354"/>
      <c r="O22" s="355">
        <f t="shared" si="8"/>
        <v>0</v>
      </c>
      <c r="P22" s="355">
        <f t="shared" si="9"/>
        <v>0</v>
      </c>
      <c r="Q22" s="356">
        <f t="shared" si="0"/>
        <v>0</v>
      </c>
      <c r="R22" s="357">
        <f t="shared" si="1"/>
        <v>61</v>
      </c>
      <c r="S22" s="357">
        <f t="shared" si="10"/>
        <v>0</v>
      </c>
      <c r="T22" s="357">
        <f t="shared" si="11"/>
        <v>0</v>
      </c>
      <c r="U22" s="358"/>
      <c r="V22" s="349"/>
      <c r="W22" s="359"/>
      <c r="X22" s="360"/>
      <c r="Y22" s="359"/>
      <c r="Z22" s="361"/>
      <c r="AA22" s="362"/>
      <c r="AB22" s="358"/>
      <c r="AC22" s="349"/>
      <c r="AD22" s="362"/>
      <c r="AE22" s="363"/>
      <c r="AF22" s="364"/>
      <c r="AG22" s="365"/>
      <c r="AH22" s="366"/>
      <c r="AI22" s="351"/>
      <c r="AJ22" s="328" t="s">
        <v>375</v>
      </c>
      <c r="AK22" s="344"/>
      <c r="AL22" s="438">
        <v>8</v>
      </c>
      <c r="AN22" s="325" t="s">
        <v>311</v>
      </c>
      <c r="AO22" s="554">
        <f ca="1">Balance!$E30</f>
        <v>227.92714000820303</v>
      </c>
      <c r="AP22" s="555"/>
      <c r="AQ22" s="555">
        <f ca="1">Balance!$F30</f>
        <v>588.05814156634517</v>
      </c>
      <c r="AR22" s="555"/>
      <c r="AS22" s="555">
        <f ca="1">Balance!$G30</f>
        <v>979.42369465519744</v>
      </c>
      <c r="AT22" s="555"/>
      <c r="AU22" s="555">
        <f ca="1">Balance!$H30</f>
        <v>1462.5680855198918</v>
      </c>
      <c r="AV22" s="555"/>
      <c r="AW22" s="555">
        <f ca="1">Balance!$I30</f>
        <v>2053.8828240610401</v>
      </c>
      <c r="AX22" s="556"/>
      <c r="AY22" s="329"/>
    </row>
    <row r="23" spans="1:51" ht="12.6" customHeight="1" x14ac:dyDescent="0.3">
      <c r="A23" s="19"/>
      <c r="B23" s="348"/>
      <c r="C23" s="349"/>
      <c r="D23" s="350"/>
      <c r="E23" s="349"/>
      <c r="F23" s="350"/>
      <c r="G23" s="351"/>
      <c r="H23" s="352"/>
      <c r="I23" s="353"/>
      <c r="J23" s="349"/>
      <c r="K23" s="350"/>
      <c r="L23" s="349"/>
      <c r="M23" s="350"/>
      <c r="N23" s="354"/>
      <c r="O23" s="355">
        <f t="shared" si="8"/>
        <v>0</v>
      </c>
      <c r="P23" s="355">
        <f t="shared" si="9"/>
        <v>0</v>
      </c>
      <c r="Q23" s="356">
        <f t="shared" si="0"/>
        <v>0</v>
      </c>
      <c r="R23" s="357">
        <f t="shared" si="1"/>
        <v>61</v>
      </c>
      <c r="S23" s="357">
        <f t="shared" si="10"/>
        <v>0</v>
      </c>
      <c r="T23" s="357">
        <f t="shared" si="11"/>
        <v>0</v>
      </c>
      <c r="U23" s="358"/>
      <c r="V23" s="349"/>
      <c r="W23" s="359"/>
      <c r="X23" s="360"/>
      <c r="Y23" s="359"/>
      <c r="Z23" s="361"/>
      <c r="AA23" s="362"/>
      <c r="AB23" s="358"/>
      <c r="AC23" s="349"/>
      <c r="AD23" s="362"/>
      <c r="AE23" s="363"/>
      <c r="AF23" s="364"/>
      <c r="AG23" s="365"/>
      <c r="AH23" s="366"/>
      <c r="AI23" s="351"/>
      <c r="AJ23" s="328" t="s">
        <v>376</v>
      </c>
      <c r="AK23" s="344"/>
      <c r="AL23" s="437">
        <v>2.5000000000000001E-2</v>
      </c>
      <c r="AN23" s="325" t="s">
        <v>312</v>
      </c>
      <c r="AO23" s="331"/>
      <c r="AP23" s="331"/>
      <c r="AQ23" s="331"/>
      <c r="AR23" s="331"/>
      <c r="AS23" s="331"/>
      <c r="AT23" s="331"/>
      <c r="AU23" s="331"/>
      <c r="AV23" s="331"/>
      <c r="AW23" s="331"/>
      <c r="AX23" s="331"/>
      <c r="AY23" s="329"/>
    </row>
    <row r="24" spans="1:51" ht="12.6" customHeight="1" x14ac:dyDescent="0.3">
      <c r="A24" s="19"/>
      <c r="B24" s="348"/>
      <c r="C24" s="349"/>
      <c r="D24" s="350"/>
      <c r="E24" s="349"/>
      <c r="F24" s="350"/>
      <c r="G24" s="351"/>
      <c r="H24" s="352"/>
      <c r="I24" s="353"/>
      <c r="J24" s="349"/>
      <c r="K24" s="350"/>
      <c r="L24" s="349"/>
      <c r="M24" s="350"/>
      <c r="N24" s="354"/>
      <c r="O24" s="355">
        <f t="shared" si="8"/>
        <v>0</v>
      </c>
      <c r="P24" s="355">
        <f t="shared" si="9"/>
        <v>0</v>
      </c>
      <c r="Q24" s="356">
        <f t="shared" si="0"/>
        <v>0</v>
      </c>
      <c r="R24" s="357">
        <f t="shared" si="1"/>
        <v>61</v>
      </c>
      <c r="S24" s="357">
        <f t="shared" si="10"/>
        <v>0</v>
      </c>
      <c r="T24" s="357">
        <f t="shared" si="11"/>
        <v>0</v>
      </c>
      <c r="U24" s="358"/>
      <c r="V24" s="349"/>
      <c r="W24" s="359"/>
      <c r="X24" s="360"/>
      <c r="Y24" s="359"/>
      <c r="Z24" s="361"/>
      <c r="AA24" s="362"/>
      <c r="AB24" s="358"/>
      <c r="AC24" s="349"/>
      <c r="AD24" s="362"/>
      <c r="AE24" s="363"/>
      <c r="AF24" s="364"/>
      <c r="AG24" s="365"/>
      <c r="AH24" s="366"/>
      <c r="AI24" s="351"/>
      <c r="AJ24" s="345"/>
      <c r="AK24" s="346"/>
      <c r="AL24" s="347"/>
      <c r="AN24" s="325" t="s">
        <v>313</v>
      </c>
      <c r="AO24" s="566">
        <f ca="1">Cash!$E14</f>
        <v>93.915228931829915</v>
      </c>
      <c r="AP24" s="567"/>
      <c r="AQ24" s="567">
        <f ca="1">Cash!$F14</f>
        <v>288.89157769526003</v>
      </c>
      <c r="AR24" s="567"/>
      <c r="AS24" s="567">
        <f ca="1">Cash!$G14</f>
        <v>370.23871403017841</v>
      </c>
      <c r="AT24" s="567"/>
      <c r="AU24" s="567">
        <f ca="1">Cash!$H14</f>
        <v>459.86333656419919</v>
      </c>
      <c r="AV24" s="567"/>
      <c r="AW24" s="567">
        <f ca="1">Cash!$I14</f>
        <v>555.66606512073849</v>
      </c>
      <c r="AX24" s="568"/>
      <c r="AY24" s="329"/>
    </row>
    <row r="25" spans="1:51" ht="12.6" customHeight="1" x14ac:dyDescent="0.3">
      <c r="A25" s="19"/>
      <c r="B25" s="348"/>
      <c r="C25" s="349"/>
      <c r="D25" s="350"/>
      <c r="E25" s="349"/>
      <c r="F25" s="350"/>
      <c r="G25" s="351"/>
      <c r="H25" s="352"/>
      <c r="I25" s="353"/>
      <c r="J25" s="349"/>
      <c r="K25" s="350"/>
      <c r="L25" s="349"/>
      <c r="M25" s="350"/>
      <c r="N25" s="354"/>
      <c r="O25" s="355">
        <f t="shared" si="8"/>
        <v>0</v>
      </c>
      <c r="P25" s="355">
        <f t="shared" si="9"/>
        <v>0</v>
      </c>
      <c r="Q25" s="356">
        <f t="shared" si="0"/>
        <v>0</v>
      </c>
      <c r="R25" s="357">
        <f t="shared" si="1"/>
        <v>61</v>
      </c>
      <c r="S25" s="357">
        <f t="shared" si="10"/>
        <v>0</v>
      </c>
      <c r="T25" s="357">
        <f t="shared" si="11"/>
        <v>0</v>
      </c>
      <c r="U25" s="358"/>
      <c r="V25" s="349"/>
      <c r="W25" s="359"/>
      <c r="X25" s="360"/>
      <c r="Y25" s="359"/>
      <c r="Z25" s="361"/>
      <c r="AA25" s="362"/>
      <c r="AB25" s="358"/>
      <c r="AC25" s="349"/>
      <c r="AD25" s="362"/>
      <c r="AE25" s="363"/>
      <c r="AF25" s="364"/>
      <c r="AG25" s="365"/>
      <c r="AH25" s="366"/>
      <c r="AI25" s="351"/>
      <c r="AJ25" s="560" t="s">
        <v>314</v>
      </c>
      <c r="AK25" s="561"/>
      <c r="AL25" s="562"/>
      <c r="AN25" s="325" t="s">
        <v>315</v>
      </c>
      <c r="AO25" s="563">
        <f>Cash!$E23</f>
        <v>-172</v>
      </c>
      <c r="AP25" s="564"/>
      <c r="AQ25" s="564">
        <f>Cash!$F23</f>
        <v>0</v>
      </c>
      <c r="AR25" s="564"/>
      <c r="AS25" s="564">
        <f>Cash!$G23</f>
        <v>0</v>
      </c>
      <c r="AT25" s="564"/>
      <c r="AU25" s="564">
        <f>Cash!$H23</f>
        <v>0</v>
      </c>
      <c r="AV25" s="564"/>
      <c r="AW25" s="564">
        <f>Cash!$I23</f>
        <v>60</v>
      </c>
      <c r="AX25" s="565"/>
      <c r="AY25" s="329"/>
    </row>
    <row r="26" spans="1:51" ht="13.2" x14ac:dyDescent="0.3">
      <c r="A26" s="19"/>
      <c r="B26" s="348"/>
      <c r="C26" s="349"/>
      <c r="D26" s="350"/>
      <c r="E26" s="349"/>
      <c r="F26" s="350"/>
      <c r="G26" s="351"/>
      <c r="H26" s="352"/>
      <c r="I26" s="353"/>
      <c r="J26" s="349"/>
      <c r="K26" s="350"/>
      <c r="L26" s="349"/>
      <c r="M26" s="350"/>
      <c r="N26" s="354"/>
      <c r="O26" s="355">
        <f t="shared" si="8"/>
        <v>0</v>
      </c>
      <c r="P26" s="355">
        <f t="shared" si="9"/>
        <v>0</v>
      </c>
      <c r="Q26" s="356">
        <f t="shared" si="0"/>
        <v>0</v>
      </c>
      <c r="R26" s="357">
        <f t="shared" si="1"/>
        <v>61</v>
      </c>
      <c r="S26" s="357">
        <f t="shared" si="10"/>
        <v>0</v>
      </c>
      <c r="T26" s="357">
        <f t="shared" si="11"/>
        <v>0</v>
      </c>
      <c r="U26" s="358"/>
      <c r="V26" s="349"/>
      <c r="W26" s="359"/>
      <c r="X26" s="360"/>
      <c r="Y26" s="359"/>
      <c r="Z26" s="361"/>
      <c r="AA26" s="362"/>
      <c r="AB26" s="358"/>
      <c r="AC26" s="349"/>
      <c r="AD26" s="362"/>
      <c r="AE26" s="363"/>
      <c r="AF26" s="364"/>
      <c r="AG26" s="365"/>
      <c r="AH26" s="366"/>
      <c r="AI26" s="351"/>
      <c r="AJ26" s="367" t="s">
        <v>362</v>
      </c>
      <c r="AK26" s="368"/>
      <c r="AL26" s="461">
        <v>300</v>
      </c>
      <c r="AN26" s="325" t="s">
        <v>316</v>
      </c>
      <c r="AO26" s="554">
        <f ca="1">Cash!$E32</f>
        <v>378.08477106817014</v>
      </c>
      <c r="AP26" s="555"/>
      <c r="AQ26" s="555">
        <f ca="1">Cash!$F32</f>
        <v>-59.417298088019102</v>
      </c>
      <c r="AR26" s="555"/>
      <c r="AS26" s="555">
        <f ca="1">Cash!$G32</f>
        <v>0</v>
      </c>
      <c r="AT26" s="555"/>
      <c r="AU26" s="555">
        <f ca="1">Cash!$H32</f>
        <v>0</v>
      </c>
      <c r="AV26" s="555"/>
      <c r="AW26" s="555">
        <f ca="1">Cash!$I32</f>
        <v>0</v>
      </c>
      <c r="AX26" s="556"/>
      <c r="AY26" s="329"/>
    </row>
    <row r="27" spans="1:51" ht="14.4" customHeight="1" x14ac:dyDescent="0.3">
      <c r="A27" s="19"/>
      <c r="B27" s="348"/>
      <c r="C27" s="349"/>
      <c r="D27" s="350"/>
      <c r="E27" s="349"/>
      <c r="F27" s="350"/>
      <c r="G27" s="351"/>
      <c r="H27" s="352"/>
      <c r="I27" s="353"/>
      <c r="J27" s="349"/>
      <c r="K27" s="350"/>
      <c r="L27" s="349"/>
      <c r="M27" s="350"/>
      <c r="N27" s="354"/>
      <c r="O27" s="355">
        <f t="shared" si="8"/>
        <v>0</v>
      </c>
      <c r="P27" s="355">
        <f t="shared" si="9"/>
        <v>0</v>
      </c>
      <c r="Q27" s="356">
        <f t="shared" si="0"/>
        <v>0</v>
      </c>
      <c r="R27" s="357">
        <f t="shared" si="1"/>
        <v>61</v>
      </c>
      <c r="S27" s="357">
        <f t="shared" si="10"/>
        <v>0</v>
      </c>
      <c r="T27" s="357">
        <f t="shared" si="11"/>
        <v>0</v>
      </c>
      <c r="U27" s="358"/>
      <c r="V27" s="349"/>
      <c r="W27" s="359"/>
      <c r="X27" s="360"/>
      <c r="Y27" s="359"/>
      <c r="Z27" s="361"/>
      <c r="AA27" s="362"/>
      <c r="AB27" s="358"/>
      <c r="AC27" s="349"/>
      <c r="AD27" s="362"/>
      <c r="AE27" s="363"/>
      <c r="AF27" s="364"/>
      <c r="AG27" s="365"/>
      <c r="AH27" s="366"/>
      <c r="AI27" s="351"/>
      <c r="AJ27" s="369" t="s">
        <v>363</v>
      </c>
      <c r="AK27" s="370"/>
      <c r="AL27" s="436">
        <v>0.4</v>
      </c>
      <c r="AN27" s="325" t="s">
        <v>317</v>
      </c>
      <c r="AO27" s="371"/>
      <c r="AP27" s="371"/>
      <c r="AQ27" s="371"/>
      <c r="AR27" s="371"/>
      <c r="AS27" s="371"/>
      <c r="AT27" s="371"/>
      <c r="AU27" s="371"/>
      <c r="AV27" s="371"/>
      <c r="AW27" s="371"/>
      <c r="AX27" s="371"/>
      <c r="AY27" s="329"/>
    </row>
    <row r="28" spans="1:51" ht="14.4" customHeight="1" x14ac:dyDescent="0.3">
      <c r="A28" s="19"/>
      <c r="B28" s="348"/>
      <c r="C28" s="349"/>
      <c r="D28" s="350"/>
      <c r="E28" s="349"/>
      <c r="F28" s="350"/>
      <c r="G28" s="351"/>
      <c r="H28" s="352"/>
      <c r="I28" s="353"/>
      <c r="J28" s="349"/>
      <c r="K28" s="350"/>
      <c r="L28" s="349"/>
      <c r="M28" s="350"/>
      <c r="N28" s="354"/>
      <c r="O28" s="355">
        <f t="shared" si="8"/>
        <v>0</v>
      </c>
      <c r="P28" s="355">
        <f t="shared" si="9"/>
        <v>0</v>
      </c>
      <c r="Q28" s="356">
        <f t="shared" si="0"/>
        <v>0</v>
      </c>
      <c r="R28" s="357">
        <f t="shared" si="1"/>
        <v>61</v>
      </c>
      <c r="S28" s="357">
        <f t="shared" si="10"/>
        <v>0</v>
      </c>
      <c r="T28" s="357">
        <f t="shared" si="11"/>
        <v>0</v>
      </c>
      <c r="U28" s="358"/>
      <c r="V28" s="349"/>
      <c r="W28" s="359"/>
      <c r="X28" s="360"/>
      <c r="Y28" s="359"/>
      <c r="Z28" s="361"/>
      <c r="AA28" s="362"/>
      <c r="AB28" s="358"/>
      <c r="AC28" s="349"/>
      <c r="AD28" s="362"/>
      <c r="AE28" s="363"/>
      <c r="AF28" s="364"/>
      <c r="AG28" s="365"/>
      <c r="AH28" s="366"/>
      <c r="AI28" s="351"/>
      <c r="AJ28" s="338" t="s">
        <v>364</v>
      </c>
      <c r="AK28" s="372"/>
      <c r="AL28" s="436">
        <v>0.15</v>
      </c>
      <c r="AN28" s="325"/>
      <c r="AO28" s="557" t="s">
        <v>318</v>
      </c>
      <c r="AP28" s="558"/>
      <c r="AQ28" s="558"/>
      <c r="AR28" s="559"/>
      <c r="AS28" s="371"/>
      <c r="AT28" s="557" t="s">
        <v>319</v>
      </c>
      <c r="AU28" s="558"/>
      <c r="AV28" s="558"/>
      <c r="AW28" s="559"/>
      <c r="AX28" s="331"/>
      <c r="AY28" s="329"/>
    </row>
    <row r="29" spans="1:51" ht="13.2" x14ac:dyDescent="0.3">
      <c r="A29" s="19"/>
      <c r="B29" s="348"/>
      <c r="C29" s="349"/>
      <c r="D29" s="350"/>
      <c r="E29" s="349"/>
      <c r="F29" s="350"/>
      <c r="G29" s="351"/>
      <c r="H29" s="352"/>
      <c r="I29" s="353"/>
      <c r="J29" s="349"/>
      <c r="K29" s="350"/>
      <c r="L29" s="349"/>
      <c r="M29" s="350"/>
      <c r="N29" s="354"/>
      <c r="O29" s="355">
        <f t="shared" si="8"/>
        <v>0</v>
      </c>
      <c r="P29" s="355">
        <f t="shared" si="9"/>
        <v>0</v>
      </c>
      <c r="Q29" s="356">
        <f t="shared" si="0"/>
        <v>0</v>
      </c>
      <c r="R29" s="357">
        <f t="shared" si="1"/>
        <v>61</v>
      </c>
      <c r="S29" s="357">
        <f t="shared" si="10"/>
        <v>0</v>
      </c>
      <c r="T29" s="357">
        <f t="shared" si="11"/>
        <v>0</v>
      </c>
      <c r="U29" s="358"/>
      <c r="V29" s="349"/>
      <c r="W29" s="359"/>
      <c r="X29" s="360"/>
      <c r="Y29" s="359"/>
      <c r="Z29" s="361"/>
      <c r="AA29" s="362"/>
      <c r="AB29" s="358"/>
      <c r="AC29" s="349"/>
      <c r="AD29" s="362"/>
      <c r="AE29" s="363"/>
      <c r="AF29" s="364"/>
      <c r="AG29" s="365"/>
      <c r="AH29" s="366"/>
      <c r="AI29" s="351"/>
      <c r="AJ29" s="369" t="s">
        <v>365</v>
      </c>
      <c r="AK29" s="370"/>
      <c r="AL29" s="437">
        <v>0.02</v>
      </c>
      <c r="AN29" s="325"/>
      <c r="AO29" s="373" t="s">
        <v>320</v>
      </c>
      <c r="AP29" s="374"/>
      <c r="AQ29" s="547">
        <f ca="1">Valuation!$H25</f>
        <v>7182.4924568255083</v>
      </c>
      <c r="AR29" s="548"/>
      <c r="AS29" s="371"/>
      <c r="AT29" s="375" t="s">
        <v>321</v>
      </c>
      <c r="AV29" s="549">
        <f ca="1">ValEvEbitda*Income!$F15</f>
        <v>2646.882687067789</v>
      </c>
      <c r="AW29" s="548"/>
      <c r="AX29" s="377"/>
      <c r="AY29" s="329"/>
    </row>
    <row r="30" spans="1:51" ht="13.2" x14ac:dyDescent="0.3">
      <c r="A30" s="19"/>
      <c r="B30" s="348"/>
      <c r="C30" s="349"/>
      <c r="D30" s="350"/>
      <c r="E30" s="349"/>
      <c r="F30" s="350"/>
      <c r="G30" s="351"/>
      <c r="H30" s="352"/>
      <c r="I30" s="353"/>
      <c r="J30" s="349"/>
      <c r="K30" s="350"/>
      <c r="L30" s="349"/>
      <c r="M30" s="350"/>
      <c r="N30" s="354"/>
      <c r="O30" s="355">
        <f t="shared" si="8"/>
        <v>0</v>
      </c>
      <c r="P30" s="355">
        <f t="shared" si="9"/>
        <v>0</v>
      </c>
      <c r="Q30" s="356">
        <f t="shared" si="0"/>
        <v>0</v>
      </c>
      <c r="R30" s="357">
        <f t="shared" si="1"/>
        <v>61</v>
      </c>
      <c r="S30" s="357">
        <f t="shared" si="10"/>
        <v>0</v>
      </c>
      <c r="T30" s="357">
        <f t="shared" si="11"/>
        <v>0</v>
      </c>
      <c r="U30" s="358"/>
      <c r="V30" s="349"/>
      <c r="W30" s="359"/>
      <c r="X30" s="360"/>
      <c r="Y30" s="359"/>
      <c r="Z30" s="361"/>
      <c r="AA30" s="362"/>
      <c r="AB30" s="358"/>
      <c r="AC30" s="349"/>
      <c r="AD30" s="362"/>
      <c r="AE30" s="363"/>
      <c r="AF30" s="364"/>
      <c r="AG30" s="365"/>
      <c r="AH30" s="366"/>
      <c r="AI30" s="351"/>
      <c r="AJ30" s="345" t="s">
        <v>366</v>
      </c>
      <c r="AK30" s="297"/>
      <c r="AL30" s="436">
        <v>0.3</v>
      </c>
      <c r="AN30" s="378"/>
      <c r="AO30" s="379" t="s">
        <v>322</v>
      </c>
      <c r="AP30" s="380"/>
      <c r="AQ30" s="550">
        <f ca="1">Valuation!$H$28</f>
        <v>7521.9667364327497</v>
      </c>
      <c r="AR30" s="551"/>
      <c r="AS30" s="381"/>
      <c r="AT30" s="382" t="s">
        <v>323</v>
      </c>
      <c r="AU30" s="383"/>
      <c r="AV30" s="552">
        <f ca="1">ValPE*Income!F26</f>
        <v>2464.4696654038803</v>
      </c>
      <c r="AW30" s="553"/>
      <c r="AX30" s="384"/>
      <c r="AY30" s="385"/>
    </row>
    <row r="31" spans="1:51" ht="13.2" x14ac:dyDescent="0.3">
      <c r="A31" s="19"/>
      <c r="B31" s="348"/>
      <c r="C31" s="349"/>
      <c r="D31" s="350"/>
      <c r="E31" s="349"/>
      <c r="F31" s="350"/>
      <c r="G31" s="351"/>
      <c r="H31" s="352"/>
      <c r="I31" s="353"/>
      <c r="J31" s="349"/>
      <c r="K31" s="350"/>
      <c r="L31" s="349"/>
      <c r="M31" s="350"/>
      <c r="N31" s="354"/>
      <c r="O31" s="355">
        <f t="shared" ref="O31:O66" si="12">IF(N31=0,0,MIN(N31+J31-1,L31))</f>
        <v>0</v>
      </c>
      <c r="P31" s="355">
        <f t="shared" ref="P31:P66" si="13">IF(O31=0,0,O31-J31+1)</f>
        <v>0</v>
      </c>
      <c r="Q31" s="356">
        <f t="shared" ref="Q31:Q66" si="14">IF(P31=0,0,K31/N31)</f>
        <v>0</v>
      </c>
      <c r="R31" s="357">
        <f t="shared" ref="R31:R66" si="15" xml:space="preserve">   IF(        AND(N31=0,L31=0),61,    IF(         N31=0, L31, MIN(N31+J31-1,L31)))</f>
        <v>61</v>
      </c>
      <c r="S31" s="357">
        <f t="shared" ref="S31:S66" si="16">K31-(P31*Q31)</f>
        <v>0</v>
      </c>
      <c r="T31" s="357">
        <f t="shared" ref="T31:T66" si="17">M31-(K31-P31* Q31)</f>
        <v>0</v>
      </c>
      <c r="U31" s="358"/>
      <c r="V31" s="349"/>
      <c r="W31" s="359"/>
      <c r="X31" s="360"/>
      <c r="Y31" s="359"/>
      <c r="Z31" s="361"/>
      <c r="AA31" s="362"/>
      <c r="AB31" s="358"/>
      <c r="AC31" s="349"/>
      <c r="AD31" s="362"/>
      <c r="AE31" s="363"/>
      <c r="AF31" s="364"/>
      <c r="AG31" s="365"/>
      <c r="AH31" s="366"/>
      <c r="AI31" s="351"/>
      <c r="AJ31" s="386"/>
      <c r="AK31" s="387"/>
      <c r="AL31" s="388"/>
    </row>
    <row r="32" spans="1:51" ht="13.2" x14ac:dyDescent="0.3">
      <c r="A32" s="19"/>
      <c r="B32" s="348"/>
      <c r="C32" s="349"/>
      <c r="D32" s="350"/>
      <c r="E32" s="349"/>
      <c r="F32" s="350"/>
      <c r="G32" s="351"/>
      <c r="H32" s="352"/>
      <c r="I32" s="353"/>
      <c r="J32" s="349"/>
      <c r="K32" s="350"/>
      <c r="L32" s="349"/>
      <c r="M32" s="350"/>
      <c r="N32" s="354"/>
      <c r="O32" s="355">
        <f t="shared" si="12"/>
        <v>0</v>
      </c>
      <c r="P32" s="355">
        <f t="shared" si="13"/>
        <v>0</v>
      </c>
      <c r="Q32" s="356">
        <f t="shared" si="14"/>
        <v>0</v>
      </c>
      <c r="R32" s="357">
        <f t="shared" si="15"/>
        <v>61</v>
      </c>
      <c r="S32" s="357">
        <f t="shared" si="16"/>
        <v>0</v>
      </c>
      <c r="T32" s="357">
        <f t="shared" si="17"/>
        <v>0</v>
      </c>
      <c r="U32" s="358"/>
      <c r="V32" s="349"/>
      <c r="W32" s="359"/>
      <c r="X32" s="360"/>
      <c r="Y32" s="359"/>
      <c r="Z32" s="361"/>
      <c r="AA32" s="362"/>
      <c r="AB32" s="358"/>
      <c r="AC32" s="349"/>
      <c r="AD32" s="362"/>
      <c r="AE32" s="363"/>
      <c r="AF32" s="364"/>
      <c r="AG32" s="365"/>
      <c r="AH32" s="366"/>
      <c r="AI32" s="351"/>
      <c r="AJ32" s="389"/>
      <c r="AK32" s="390"/>
      <c r="AL32" s="391"/>
      <c r="AO32" s="19"/>
      <c r="AP32" s="19"/>
      <c r="AQ32" s="19"/>
      <c r="AR32" s="19"/>
      <c r="AS32" s="19"/>
      <c r="AT32" s="19"/>
      <c r="AU32" s="19"/>
      <c r="AV32" s="19"/>
      <c r="AW32" s="19"/>
      <c r="AX32" s="19"/>
    </row>
    <row r="33" spans="1:50" ht="13.2" x14ac:dyDescent="0.3">
      <c r="A33" s="19"/>
      <c r="B33" s="348"/>
      <c r="C33" s="349"/>
      <c r="D33" s="350"/>
      <c r="E33" s="349"/>
      <c r="F33" s="350"/>
      <c r="G33" s="351"/>
      <c r="H33" s="352"/>
      <c r="I33" s="353"/>
      <c r="J33" s="349"/>
      <c r="K33" s="350"/>
      <c r="L33" s="349"/>
      <c r="M33" s="350"/>
      <c r="N33" s="354"/>
      <c r="O33" s="355">
        <f t="shared" si="12"/>
        <v>0</v>
      </c>
      <c r="P33" s="355">
        <f t="shared" si="13"/>
        <v>0</v>
      </c>
      <c r="Q33" s="356">
        <f t="shared" si="14"/>
        <v>0</v>
      </c>
      <c r="R33" s="357">
        <f t="shared" si="15"/>
        <v>61</v>
      </c>
      <c r="S33" s="357">
        <f t="shared" si="16"/>
        <v>0</v>
      </c>
      <c r="T33" s="357">
        <f t="shared" si="17"/>
        <v>0</v>
      </c>
      <c r="U33" s="358"/>
      <c r="V33" s="349"/>
      <c r="W33" s="359"/>
      <c r="X33" s="360"/>
      <c r="Y33" s="359"/>
      <c r="Z33" s="361"/>
      <c r="AA33" s="362"/>
      <c r="AB33" s="358"/>
      <c r="AC33" s="349"/>
      <c r="AD33" s="362"/>
      <c r="AE33" s="363"/>
      <c r="AF33" s="364"/>
      <c r="AG33" s="365"/>
      <c r="AH33" s="366"/>
      <c r="AI33" s="351"/>
      <c r="AJ33" s="389"/>
      <c r="AK33" s="390"/>
      <c r="AL33" s="391"/>
      <c r="AO33" s="19"/>
      <c r="AP33" s="19"/>
      <c r="AQ33" s="19"/>
      <c r="AR33" s="19"/>
      <c r="AS33" s="19"/>
      <c r="AT33" s="19"/>
      <c r="AU33" s="19"/>
      <c r="AV33" s="19"/>
      <c r="AW33" s="19"/>
      <c r="AX33" s="19"/>
    </row>
    <row r="34" spans="1:50" ht="13.2" x14ac:dyDescent="0.3">
      <c r="A34" s="19"/>
      <c r="B34" s="348"/>
      <c r="C34" s="349"/>
      <c r="D34" s="350"/>
      <c r="E34" s="349"/>
      <c r="F34" s="350"/>
      <c r="G34" s="351"/>
      <c r="H34" s="352"/>
      <c r="I34" s="353"/>
      <c r="J34" s="349"/>
      <c r="K34" s="350"/>
      <c r="L34" s="349"/>
      <c r="M34" s="350"/>
      <c r="N34" s="354"/>
      <c r="O34" s="355">
        <f t="shared" si="12"/>
        <v>0</v>
      </c>
      <c r="P34" s="355">
        <f t="shared" si="13"/>
        <v>0</v>
      </c>
      <c r="Q34" s="356">
        <f t="shared" si="14"/>
        <v>0</v>
      </c>
      <c r="R34" s="357">
        <f t="shared" si="15"/>
        <v>61</v>
      </c>
      <c r="S34" s="357">
        <f t="shared" si="16"/>
        <v>0</v>
      </c>
      <c r="T34" s="357">
        <f t="shared" si="17"/>
        <v>0</v>
      </c>
      <c r="U34" s="358"/>
      <c r="V34" s="349"/>
      <c r="W34" s="359"/>
      <c r="X34" s="360"/>
      <c r="Y34" s="359"/>
      <c r="Z34" s="361"/>
      <c r="AA34" s="362"/>
      <c r="AB34" s="358"/>
      <c r="AC34" s="349"/>
      <c r="AD34" s="362"/>
      <c r="AE34" s="363"/>
      <c r="AF34" s="364"/>
      <c r="AG34" s="365"/>
      <c r="AH34" s="366"/>
      <c r="AI34" s="351"/>
      <c r="AJ34" s="389"/>
      <c r="AK34" s="390"/>
      <c r="AL34" s="391"/>
      <c r="AO34" s="19"/>
      <c r="AP34" s="19"/>
      <c r="AQ34" s="19"/>
      <c r="AR34" s="19"/>
      <c r="AS34" s="19"/>
      <c r="AT34" s="19"/>
      <c r="AU34" s="19"/>
      <c r="AV34" s="19"/>
      <c r="AW34" s="19"/>
      <c r="AX34" s="19"/>
    </row>
    <row r="35" spans="1:50" ht="13.2" x14ac:dyDescent="0.3">
      <c r="A35" s="19"/>
      <c r="B35" s="348"/>
      <c r="C35" s="349"/>
      <c r="D35" s="350"/>
      <c r="E35" s="349"/>
      <c r="F35" s="350"/>
      <c r="G35" s="351"/>
      <c r="H35" s="352"/>
      <c r="I35" s="353"/>
      <c r="J35" s="349"/>
      <c r="K35" s="350"/>
      <c r="L35" s="349"/>
      <c r="M35" s="350"/>
      <c r="N35" s="354"/>
      <c r="O35" s="355">
        <f t="shared" si="12"/>
        <v>0</v>
      </c>
      <c r="P35" s="355">
        <f t="shared" si="13"/>
        <v>0</v>
      </c>
      <c r="Q35" s="356">
        <f t="shared" si="14"/>
        <v>0</v>
      </c>
      <c r="R35" s="357">
        <f t="shared" si="15"/>
        <v>61</v>
      </c>
      <c r="S35" s="357">
        <f t="shared" si="16"/>
        <v>0</v>
      </c>
      <c r="T35" s="357">
        <f t="shared" si="17"/>
        <v>0</v>
      </c>
      <c r="U35" s="358"/>
      <c r="V35" s="349"/>
      <c r="W35" s="359"/>
      <c r="X35" s="360"/>
      <c r="Y35" s="359"/>
      <c r="Z35" s="361"/>
      <c r="AA35" s="362"/>
      <c r="AB35" s="358"/>
      <c r="AC35" s="349"/>
      <c r="AD35" s="362"/>
      <c r="AE35" s="363"/>
      <c r="AF35" s="364"/>
      <c r="AG35" s="365"/>
      <c r="AH35" s="366"/>
      <c r="AI35" s="351"/>
      <c r="AJ35" s="389"/>
      <c r="AK35" s="390"/>
      <c r="AL35" s="391"/>
      <c r="AO35" s="19"/>
      <c r="AP35" s="19"/>
      <c r="AQ35" s="19"/>
      <c r="AR35" s="19"/>
      <c r="AS35" s="19"/>
      <c r="AT35" s="19"/>
      <c r="AU35" s="19"/>
      <c r="AV35" s="19"/>
      <c r="AW35" s="19"/>
      <c r="AX35" s="19"/>
    </row>
    <row r="36" spans="1:50" ht="13.2" x14ac:dyDescent="0.3">
      <c r="A36" s="19"/>
      <c r="B36" s="348"/>
      <c r="C36" s="349"/>
      <c r="D36" s="350"/>
      <c r="E36" s="349"/>
      <c r="F36" s="350"/>
      <c r="G36" s="351"/>
      <c r="H36" s="352"/>
      <c r="I36" s="353"/>
      <c r="J36" s="349"/>
      <c r="K36" s="350"/>
      <c r="L36" s="349"/>
      <c r="M36" s="350"/>
      <c r="N36" s="354"/>
      <c r="O36" s="355">
        <f t="shared" si="12"/>
        <v>0</v>
      </c>
      <c r="P36" s="355">
        <f t="shared" si="13"/>
        <v>0</v>
      </c>
      <c r="Q36" s="356">
        <f t="shared" si="14"/>
        <v>0</v>
      </c>
      <c r="R36" s="357">
        <f t="shared" si="15"/>
        <v>61</v>
      </c>
      <c r="S36" s="357">
        <f t="shared" si="16"/>
        <v>0</v>
      </c>
      <c r="T36" s="357">
        <f t="shared" si="17"/>
        <v>0</v>
      </c>
      <c r="U36" s="358"/>
      <c r="V36" s="349"/>
      <c r="W36" s="359"/>
      <c r="X36" s="360"/>
      <c r="Y36" s="359"/>
      <c r="Z36" s="361"/>
      <c r="AA36" s="362"/>
      <c r="AB36" s="358"/>
      <c r="AC36" s="349"/>
      <c r="AD36" s="362"/>
      <c r="AE36" s="363"/>
      <c r="AF36" s="364"/>
      <c r="AG36" s="365"/>
      <c r="AH36" s="366"/>
      <c r="AI36" s="351"/>
      <c r="AJ36" s="389"/>
      <c r="AK36" s="390"/>
      <c r="AL36" s="391"/>
      <c r="AO36" s="19"/>
      <c r="AP36" s="19"/>
      <c r="AQ36" s="19"/>
      <c r="AR36" s="19"/>
      <c r="AS36" s="19"/>
      <c r="AT36" s="19"/>
      <c r="AU36" s="19"/>
      <c r="AV36" s="19"/>
      <c r="AW36" s="19"/>
      <c r="AX36" s="19"/>
    </row>
    <row r="37" spans="1:50" ht="13.2" x14ac:dyDescent="0.3">
      <c r="A37" s="19"/>
      <c r="B37" s="348"/>
      <c r="C37" s="349"/>
      <c r="D37" s="350"/>
      <c r="E37" s="349"/>
      <c r="F37" s="350"/>
      <c r="G37" s="351"/>
      <c r="H37" s="352"/>
      <c r="I37" s="353"/>
      <c r="J37" s="349"/>
      <c r="K37" s="350"/>
      <c r="L37" s="349"/>
      <c r="M37" s="350"/>
      <c r="N37" s="354"/>
      <c r="O37" s="355">
        <f t="shared" si="12"/>
        <v>0</v>
      </c>
      <c r="P37" s="355">
        <f t="shared" si="13"/>
        <v>0</v>
      </c>
      <c r="Q37" s="356">
        <f t="shared" si="14"/>
        <v>0</v>
      </c>
      <c r="R37" s="357">
        <f t="shared" si="15"/>
        <v>61</v>
      </c>
      <c r="S37" s="357">
        <f t="shared" si="16"/>
        <v>0</v>
      </c>
      <c r="T37" s="357">
        <f t="shared" si="17"/>
        <v>0</v>
      </c>
      <c r="U37" s="358"/>
      <c r="V37" s="349"/>
      <c r="W37" s="359"/>
      <c r="X37" s="360"/>
      <c r="Y37" s="359"/>
      <c r="Z37" s="361"/>
      <c r="AA37" s="362"/>
      <c r="AB37" s="358"/>
      <c r="AC37" s="349"/>
      <c r="AD37" s="362"/>
      <c r="AE37" s="363"/>
      <c r="AF37" s="364"/>
      <c r="AG37" s="365"/>
      <c r="AH37" s="366"/>
      <c r="AI37" s="351"/>
      <c r="AJ37" s="389"/>
      <c r="AK37" s="390"/>
      <c r="AL37" s="391"/>
      <c r="AO37" s="19"/>
      <c r="AP37" s="19"/>
      <c r="AQ37" s="19"/>
      <c r="AR37" s="19"/>
      <c r="AS37" s="19"/>
      <c r="AT37" s="19"/>
      <c r="AU37" s="19"/>
      <c r="AV37" s="19"/>
      <c r="AW37" s="19"/>
      <c r="AX37" s="19"/>
    </row>
    <row r="38" spans="1:50" ht="13.2" x14ac:dyDescent="0.3">
      <c r="A38" s="19"/>
      <c r="B38" s="348"/>
      <c r="C38" s="349"/>
      <c r="D38" s="350"/>
      <c r="E38" s="349"/>
      <c r="F38" s="350"/>
      <c r="G38" s="351"/>
      <c r="H38" s="352"/>
      <c r="I38" s="353"/>
      <c r="J38" s="349"/>
      <c r="K38" s="350"/>
      <c r="L38" s="349"/>
      <c r="M38" s="350"/>
      <c r="N38" s="354"/>
      <c r="O38" s="355">
        <f t="shared" si="12"/>
        <v>0</v>
      </c>
      <c r="P38" s="355">
        <f t="shared" si="13"/>
        <v>0</v>
      </c>
      <c r="Q38" s="356">
        <f t="shared" si="14"/>
        <v>0</v>
      </c>
      <c r="R38" s="357">
        <f t="shared" si="15"/>
        <v>61</v>
      </c>
      <c r="S38" s="357">
        <f t="shared" si="16"/>
        <v>0</v>
      </c>
      <c r="T38" s="357">
        <f t="shared" si="17"/>
        <v>0</v>
      </c>
      <c r="U38" s="358"/>
      <c r="V38" s="349"/>
      <c r="W38" s="359"/>
      <c r="X38" s="360"/>
      <c r="Y38" s="359"/>
      <c r="Z38" s="361"/>
      <c r="AA38" s="362"/>
      <c r="AB38" s="358"/>
      <c r="AC38" s="349"/>
      <c r="AD38" s="362"/>
      <c r="AE38" s="363"/>
      <c r="AF38" s="364"/>
      <c r="AG38" s="365"/>
      <c r="AH38" s="366"/>
      <c r="AI38" s="351"/>
      <c r="AJ38" s="389"/>
      <c r="AK38" s="390"/>
      <c r="AL38" s="391"/>
      <c r="AO38" s="19"/>
      <c r="AP38" s="19"/>
      <c r="AQ38" s="19"/>
      <c r="AR38" s="19"/>
      <c r="AS38" s="19"/>
      <c r="AT38" s="19"/>
      <c r="AU38" s="19"/>
      <c r="AV38" s="19"/>
      <c r="AW38" s="19"/>
      <c r="AX38" s="19"/>
    </row>
    <row r="39" spans="1:50" ht="13.2" x14ac:dyDescent="0.3">
      <c r="A39" s="19"/>
      <c r="B39" s="348"/>
      <c r="C39" s="349"/>
      <c r="D39" s="350"/>
      <c r="E39" s="349"/>
      <c r="F39" s="350"/>
      <c r="G39" s="351"/>
      <c r="H39" s="352"/>
      <c r="I39" s="353"/>
      <c r="J39" s="349"/>
      <c r="K39" s="350"/>
      <c r="L39" s="349"/>
      <c r="M39" s="350"/>
      <c r="N39" s="354"/>
      <c r="O39" s="355">
        <f t="shared" si="12"/>
        <v>0</v>
      </c>
      <c r="P39" s="355">
        <f t="shared" si="13"/>
        <v>0</v>
      </c>
      <c r="Q39" s="356">
        <f t="shared" si="14"/>
        <v>0</v>
      </c>
      <c r="R39" s="357">
        <f t="shared" si="15"/>
        <v>61</v>
      </c>
      <c r="S39" s="357">
        <f t="shared" si="16"/>
        <v>0</v>
      </c>
      <c r="T39" s="357">
        <f t="shared" si="17"/>
        <v>0</v>
      </c>
      <c r="U39" s="358"/>
      <c r="V39" s="349"/>
      <c r="W39" s="359"/>
      <c r="X39" s="360"/>
      <c r="Y39" s="359"/>
      <c r="Z39" s="361"/>
      <c r="AA39" s="362"/>
      <c r="AB39" s="358"/>
      <c r="AC39" s="349"/>
      <c r="AD39" s="362"/>
      <c r="AE39" s="363"/>
      <c r="AF39" s="364"/>
      <c r="AG39" s="365"/>
      <c r="AH39" s="366"/>
      <c r="AI39" s="351"/>
      <c r="AJ39" s="389"/>
      <c r="AK39" s="390"/>
      <c r="AL39" s="391"/>
      <c r="AO39" s="19"/>
      <c r="AP39" s="19"/>
      <c r="AQ39" s="19"/>
      <c r="AR39" s="19"/>
      <c r="AS39" s="19"/>
      <c r="AT39" s="19"/>
      <c r="AU39" s="19"/>
      <c r="AV39" s="19"/>
      <c r="AW39" s="19"/>
      <c r="AX39" s="19"/>
    </row>
    <row r="40" spans="1:50" ht="13.2" x14ac:dyDescent="0.3">
      <c r="A40" s="19"/>
      <c r="B40" s="348"/>
      <c r="C40" s="349"/>
      <c r="D40" s="350"/>
      <c r="E40" s="349"/>
      <c r="F40" s="350"/>
      <c r="G40" s="351"/>
      <c r="H40" s="352"/>
      <c r="I40" s="353"/>
      <c r="J40" s="349"/>
      <c r="K40" s="350"/>
      <c r="L40" s="349"/>
      <c r="M40" s="350"/>
      <c r="N40" s="354"/>
      <c r="O40" s="355">
        <f t="shared" si="12"/>
        <v>0</v>
      </c>
      <c r="P40" s="355">
        <f t="shared" si="13"/>
        <v>0</v>
      </c>
      <c r="Q40" s="356">
        <f t="shared" si="14"/>
        <v>0</v>
      </c>
      <c r="R40" s="357">
        <f t="shared" si="15"/>
        <v>61</v>
      </c>
      <c r="S40" s="357">
        <f t="shared" si="16"/>
        <v>0</v>
      </c>
      <c r="T40" s="357">
        <f t="shared" si="17"/>
        <v>0</v>
      </c>
      <c r="U40" s="358"/>
      <c r="V40" s="349"/>
      <c r="W40" s="359"/>
      <c r="X40" s="360"/>
      <c r="Y40" s="359"/>
      <c r="Z40" s="361"/>
      <c r="AA40" s="362"/>
      <c r="AB40" s="358"/>
      <c r="AC40" s="349"/>
      <c r="AD40" s="362"/>
      <c r="AE40" s="363"/>
      <c r="AF40" s="364"/>
      <c r="AG40" s="365"/>
      <c r="AH40" s="366"/>
      <c r="AI40" s="351"/>
      <c r="AJ40" s="389"/>
      <c r="AK40" s="390"/>
      <c r="AL40" s="391"/>
      <c r="AO40" s="19"/>
      <c r="AP40" s="19"/>
      <c r="AQ40" s="19"/>
      <c r="AR40" s="19"/>
      <c r="AS40" s="19"/>
      <c r="AT40" s="19"/>
      <c r="AU40" s="19"/>
      <c r="AV40" s="19"/>
      <c r="AW40" s="19"/>
      <c r="AX40" s="19"/>
    </row>
    <row r="41" spans="1:50" ht="13.2" x14ac:dyDescent="0.3">
      <c r="A41" s="19"/>
      <c r="B41" s="348"/>
      <c r="C41" s="349"/>
      <c r="D41" s="350"/>
      <c r="E41" s="349"/>
      <c r="F41" s="350"/>
      <c r="G41" s="351"/>
      <c r="H41" s="352"/>
      <c r="I41" s="353"/>
      <c r="J41" s="349"/>
      <c r="K41" s="350"/>
      <c r="L41" s="349"/>
      <c r="M41" s="350"/>
      <c r="N41" s="354"/>
      <c r="O41" s="355">
        <f t="shared" si="12"/>
        <v>0</v>
      </c>
      <c r="P41" s="355">
        <f t="shared" si="13"/>
        <v>0</v>
      </c>
      <c r="Q41" s="356">
        <f t="shared" si="14"/>
        <v>0</v>
      </c>
      <c r="R41" s="357">
        <f t="shared" si="15"/>
        <v>61</v>
      </c>
      <c r="S41" s="357">
        <f t="shared" si="16"/>
        <v>0</v>
      </c>
      <c r="T41" s="357">
        <f t="shared" si="17"/>
        <v>0</v>
      </c>
      <c r="U41" s="358"/>
      <c r="V41" s="349"/>
      <c r="W41" s="359"/>
      <c r="X41" s="360"/>
      <c r="Y41" s="359"/>
      <c r="Z41" s="361"/>
      <c r="AA41" s="362"/>
      <c r="AB41" s="358"/>
      <c r="AC41" s="349"/>
      <c r="AD41" s="362"/>
      <c r="AE41" s="363"/>
      <c r="AF41" s="364"/>
      <c r="AG41" s="365"/>
      <c r="AH41" s="366"/>
      <c r="AI41" s="351"/>
      <c r="AJ41" s="389"/>
      <c r="AK41" s="390"/>
      <c r="AL41" s="391"/>
      <c r="AO41" s="19"/>
      <c r="AP41" s="19"/>
      <c r="AQ41" s="19"/>
      <c r="AR41" s="19"/>
      <c r="AS41" s="19"/>
      <c r="AT41" s="19"/>
      <c r="AU41" s="19"/>
      <c r="AV41" s="19"/>
      <c r="AW41" s="19"/>
      <c r="AX41" s="19"/>
    </row>
    <row r="42" spans="1:50" ht="13.2" x14ac:dyDescent="0.3">
      <c r="A42" s="19"/>
      <c r="B42" s="348"/>
      <c r="C42" s="349"/>
      <c r="D42" s="350"/>
      <c r="E42" s="349"/>
      <c r="F42" s="350"/>
      <c r="G42" s="351"/>
      <c r="H42" s="352"/>
      <c r="I42" s="353"/>
      <c r="J42" s="349"/>
      <c r="K42" s="350"/>
      <c r="L42" s="349"/>
      <c r="M42" s="350"/>
      <c r="N42" s="354"/>
      <c r="O42" s="355">
        <f t="shared" si="12"/>
        <v>0</v>
      </c>
      <c r="P42" s="355">
        <f t="shared" si="13"/>
        <v>0</v>
      </c>
      <c r="Q42" s="356">
        <f t="shared" si="14"/>
        <v>0</v>
      </c>
      <c r="R42" s="357">
        <f t="shared" si="15"/>
        <v>61</v>
      </c>
      <c r="S42" s="357">
        <f t="shared" si="16"/>
        <v>0</v>
      </c>
      <c r="T42" s="357">
        <f t="shared" si="17"/>
        <v>0</v>
      </c>
      <c r="U42" s="358"/>
      <c r="V42" s="349"/>
      <c r="W42" s="359"/>
      <c r="X42" s="360"/>
      <c r="Y42" s="359"/>
      <c r="Z42" s="361"/>
      <c r="AA42" s="362"/>
      <c r="AB42" s="358"/>
      <c r="AC42" s="349"/>
      <c r="AD42" s="362"/>
      <c r="AE42" s="363"/>
      <c r="AF42" s="364"/>
      <c r="AG42" s="365"/>
      <c r="AH42" s="366"/>
      <c r="AI42" s="351"/>
      <c r="AJ42" s="389"/>
      <c r="AK42" s="390"/>
      <c r="AL42" s="391"/>
      <c r="AO42" s="19"/>
      <c r="AP42" s="19"/>
      <c r="AQ42" s="19"/>
      <c r="AR42" s="19"/>
      <c r="AS42" s="19"/>
      <c r="AT42" s="19"/>
      <c r="AU42" s="19"/>
      <c r="AV42" s="19"/>
      <c r="AW42" s="19"/>
      <c r="AX42" s="19"/>
    </row>
    <row r="43" spans="1:50" ht="13.2" x14ac:dyDescent="0.3">
      <c r="A43" s="19"/>
      <c r="B43" s="348"/>
      <c r="C43" s="349"/>
      <c r="D43" s="350"/>
      <c r="E43" s="349"/>
      <c r="F43" s="350"/>
      <c r="G43" s="351"/>
      <c r="H43" s="352"/>
      <c r="I43" s="353"/>
      <c r="J43" s="349"/>
      <c r="K43" s="350"/>
      <c r="L43" s="349"/>
      <c r="M43" s="350"/>
      <c r="N43" s="354"/>
      <c r="O43" s="355">
        <f t="shared" si="12"/>
        <v>0</v>
      </c>
      <c r="P43" s="355">
        <f t="shared" si="13"/>
        <v>0</v>
      </c>
      <c r="Q43" s="356">
        <f t="shared" si="14"/>
        <v>0</v>
      </c>
      <c r="R43" s="357">
        <f t="shared" si="15"/>
        <v>61</v>
      </c>
      <c r="S43" s="357">
        <f t="shared" si="16"/>
        <v>0</v>
      </c>
      <c r="T43" s="357">
        <f t="shared" si="17"/>
        <v>0</v>
      </c>
      <c r="U43" s="358"/>
      <c r="V43" s="349"/>
      <c r="W43" s="359"/>
      <c r="X43" s="360"/>
      <c r="Y43" s="359"/>
      <c r="Z43" s="361"/>
      <c r="AA43" s="362"/>
      <c r="AB43" s="358"/>
      <c r="AC43" s="349"/>
      <c r="AD43" s="362"/>
      <c r="AE43" s="363"/>
      <c r="AF43" s="364"/>
      <c r="AG43" s="365"/>
      <c r="AH43" s="366"/>
      <c r="AI43" s="351"/>
      <c r="AJ43" s="389"/>
      <c r="AK43" s="390"/>
      <c r="AL43" s="391"/>
      <c r="AO43" s="19"/>
      <c r="AP43" s="19"/>
      <c r="AQ43" s="19"/>
      <c r="AR43" s="19"/>
      <c r="AS43" s="19"/>
      <c r="AT43" s="19"/>
      <c r="AU43" s="19"/>
      <c r="AV43" s="19"/>
      <c r="AW43" s="19"/>
      <c r="AX43" s="19"/>
    </row>
    <row r="44" spans="1:50" ht="13.2" x14ac:dyDescent="0.3">
      <c r="A44" s="19"/>
      <c r="B44" s="348"/>
      <c r="C44" s="349"/>
      <c r="D44" s="350"/>
      <c r="E44" s="349"/>
      <c r="F44" s="350"/>
      <c r="G44" s="351"/>
      <c r="H44" s="352"/>
      <c r="I44" s="353"/>
      <c r="J44" s="349"/>
      <c r="K44" s="350"/>
      <c r="L44" s="349"/>
      <c r="M44" s="350"/>
      <c r="N44" s="354"/>
      <c r="O44" s="355">
        <f t="shared" si="12"/>
        <v>0</v>
      </c>
      <c r="P44" s="355">
        <f t="shared" si="13"/>
        <v>0</v>
      </c>
      <c r="Q44" s="356">
        <f t="shared" si="14"/>
        <v>0</v>
      </c>
      <c r="R44" s="357">
        <f t="shared" si="15"/>
        <v>61</v>
      </c>
      <c r="S44" s="357">
        <f t="shared" si="16"/>
        <v>0</v>
      </c>
      <c r="T44" s="357">
        <f t="shared" si="17"/>
        <v>0</v>
      </c>
      <c r="U44" s="358"/>
      <c r="V44" s="349"/>
      <c r="W44" s="359"/>
      <c r="X44" s="360"/>
      <c r="Y44" s="359"/>
      <c r="Z44" s="361"/>
      <c r="AA44" s="362"/>
      <c r="AB44" s="358"/>
      <c r="AC44" s="349"/>
      <c r="AD44" s="362"/>
      <c r="AE44" s="363"/>
      <c r="AF44" s="364"/>
      <c r="AG44" s="365"/>
      <c r="AH44" s="366"/>
      <c r="AI44" s="351"/>
      <c r="AJ44" s="389"/>
      <c r="AK44" s="390"/>
      <c r="AL44" s="391"/>
      <c r="AO44" s="19"/>
      <c r="AP44" s="19"/>
      <c r="AQ44" s="19"/>
      <c r="AR44" s="19"/>
      <c r="AS44" s="19"/>
      <c r="AT44" s="19"/>
      <c r="AU44" s="19"/>
      <c r="AV44" s="19"/>
      <c r="AW44" s="19"/>
      <c r="AX44" s="19"/>
    </row>
    <row r="45" spans="1:50" ht="13.2" x14ac:dyDescent="0.3">
      <c r="A45" s="19"/>
      <c r="B45" s="348"/>
      <c r="C45" s="349"/>
      <c r="D45" s="350"/>
      <c r="E45" s="349"/>
      <c r="F45" s="350"/>
      <c r="G45" s="351"/>
      <c r="H45" s="352"/>
      <c r="I45" s="353"/>
      <c r="J45" s="349"/>
      <c r="K45" s="350"/>
      <c r="L45" s="349"/>
      <c r="M45" s="350"/>
      <c r="N45" s="354"/>
      <c r="O45" s="355">
        <f t="shared" si="12"/>
        <v>0</v>
      </c>
      <c r="P45" s="355">
        <f t="shared" si="13"/>
        <v>0</v>
      </c>
      <c r="Q45" s="356">
        <f t="shared" si="14"/>
        <v>0</v>
      </c>
      <c r="R45" s="357">
        <f t="shared" si="15"/>
        <v>61</v>
      </c>
      <c r="S45" s="357">
        <f t="shared" si="16"/>
        <v>0</v>
      </c>
      <c r="T45" s="357">
        <f t="shared" si="17"/>
        <v>0</v>
      </c>
      <c r="U45" s="358"/>
      <c r="V45" s="349"/>
      <c r="W45" s="359"/>
      <c r="X45" s="360"/>
      <c r="Y45" s="359"/>
      <c r="Z45" s="361"/>
      <c r="AA45" s="362"/>
      <c r="AB45" s="358"/>
      <c r="AC45" s="349"/>
      <c r="AD45" s="362"/>
      <c r="AE45" s="363"/>
      <c r="AF45" s="364"/>
      <c r="AG45" s="365"/>
      <c r="AH45" s="366"/>
      <c r="AI45" s="351"/>
      <c r="AJ45" s="389"/>
      <c r="AK45" s="390"/>
      <c r="AL45" s="391"/>
      <c r="AO45" s="19"/>
      <c r="AP45" s="19"/>
      <c r="AQ45" s="19"/>
      <c r="AR45" s="19"/>
      <c r="AS45" s="19"/>
      <c r="AT45" s="19"/>
      <c r="AU45" s="19"/>
      <c r="AV45" s="19"/>
      <c r="AW45" s="19"/>
      <c r="AX45" s="19"/>
    </row>
    <row r="46" spans="1:50" ht="13.2" x14ac:dyDescent="0.3">
      <c r="A46" s="19"/>
      <c r="B46" s="348"/>
      <c r="C46" s="349"/>
      <c r="D46" s="350"/>
      <c r="E46" s="349"/>
      <c r="F46" s="350"/>
      <c r="G46" s="351"/>
      <c r="H46" s="352"/>
      <c r="I46" s="353"/>
      <c r="J46" s="349"/>
      <c r="K46" s="350"/>
      <c r="L46" s="349"/>
      <c r="M46" s="350"/>
      <c r="N46" s="354"/>
      <c r="O46" s="355">
        <f t="shared" si="12"/>
        <v>0</v>
      </c>
      <c r="P46" s="355">
        <f t="shared" si="13"/>
        <v>0</v>
      </c>
      <c r="Q46" s="356">
        <f t="shared" si="14"/>
        <v>0</v>
      </c>
      <c r="R46" s="357">
        <f t="shared" si="15"/>
        <v>61</v>
      </c>
      <c r="S46" s="357">
        <f t="shared" si="16"/>
        <v>0</v>
      </c>
      <c r="T46" s="357">
        <f t="shared" si="17"/>
        <v>0</v>
      </c>
      <c r="U46" s="358"/>
      <c r="V46" s="349"/>
      <c r="W46" s="359"/>
      <c r="X46" s="360"/>
      <c r="Y46" s="359"/>
      <c r="Z46" s="361"/>
      <c r="AA46" s="362"/>
      <c r="AB46" s="358"/>
      <c r="AC46" s="349"/>
      <c r="AD46" s="362"/>
      <c r="AE46" s="363"/>
      <c r="AF46" s="364"/>
      <c r="AG46" s="365"/>
      <c r="AH46" s="366"/>
      <c r="AI46" s="351"/>
      <c r="AJ46" s="389"/>
      <c r="AK46" s="390"/>
      <c r="AL46" s="391"/>
      <c r="AO46" s="19"/>
      <c r="AP46" s="19"/>
      <c r="AQ46" s="19"/>
      <c r="AR46" s="19"/>
      <c r="AS46" s="19"/>
      <c r="AT46" s="19"/>
      <c r="AU46" s="19"/>
      <c r="AV46" s="19"/>
      <c r="AW46" s="19"/>
      <c r="AX46" s="19"/>
    </row>
    <row r="47" spans="1:50" ht="13.2" x14ac:dyDescent="0.3">
      <c r="A47" s="19"/>
      <c r="B47" s="348"/>
      <c r="C47" s="349"/>
      <c r="D47" s="350"/>
      <c r="E47" s="349"/>
      <c r="F47" s="350"/>
      <c r="G47" s="351"/>
      <c r="H47" s="352"/>
      <c r="I47" s="353"/>
      <c r="J47" s="349"/>
      <c r="K47" s="350"/>
      <c r="L47" s="349"/>
      <c r="M47" s="350"/>
      <c r="N47" s="354"/>
      <c r="O47" s="355">
        <f t="shared" si="12"/>
        <v>0</v>
      </c>
      <c r="P47" s="355">
        <f t="shared" si="13"/>
        <v>0</v>
      </c>
      <c r="Q47" s="356">
        <f t="shared" si="14"/>
        <v>0</v>
      </c>
      <c r="R47" s="357">
        <f t="shared" si="15"/>
        <v>61</v>
      </c>
      <c r="S47" s="357">
        <f t="shared" si="16"/>
        <v>0</v>
      </c>
      <c r="T47" s="357">
        <f t="shared" si="17"/>
        <v>0</v>
      </c>
      <c r="U47" s="358"/>
      <c r="V47" s="349"/>
      <c r="W47" s="359"/>
      <c r="X47" s="360"/>
      <c r="Y47" s="359"/>
      <c r="Z47" s="361"/>
      <c r="AA47" s="362"/>
      <c r="AB47" s="358"/>
      <c r="AC47" s="349"/>
      <c r="AD47" s="362"/>
      <c r="AE47" s="363"/>
      <c r="AF47" s="364"/>
      <c r="AG47" s="365"/>
      <c r="AH47" s="366"/>
      <c r="AI47" s="351"/>
      <c r="AJ47" s="389"/>
      <c r="AK47" s="390"/>
      <c r="AL47" s="391"/>
      <c r="AO47" s="19"/>
      <c r="AP47" s="19"/>
      <c r="AQ47" s="19"/>
      <c r="AR47" s="19"/>
      <c r="AS47" s="19"/>
      <c r="AT47" s="19"/>
      <c r="AU47" s="19"/>
      <c r="AV47" s="19"/>
      <c r="AW47" s="19"/>
      <c r="AX47" s="19"/>
    </row>
    <row r="48" spans="1:50" ht="13.2" x14ac:dyDescent="0.3">
      <c r="B48" s="348"/>
      <c r="C48" s="349"/>
      <c r="D48" s="350"/>
      <c r="E48" s="349"/>
      <c r="F48" s="350"/>
      <c r="G48" s="351"/>
      <c r="H48" s="352"/>
      <c r="I48" s="353"/>
      <c r="J48" s="349"/>
      <c r="K48" s="350"/>
      <c r="L48" s="349"/>
      <c r="M48" s="350"/>
      <c r="N48" s="354"/>
      <c r="O48" s="355">
        <f t="shared" si="12"/>
        <v>0</v>
      </c>
      <c r="P48" s="355">
        <f t="shared" si="13"/>
        <v>0</v>
      </c>
      <c r="Q48" s="356">
        <f t="shared" si="14"/>
        <v>0</v>
      </c>
      <c r="R48" s="357">
        <f t="shared" si="15"/>
        <v>61</v>
      </c>
      <c r="S48" s="357">
        <f t="shared" si="16"/>
        <v>0</v>
      </c>
      <c r="T48" s="357">
        <f t="shared" si="17"/>
        <v>0</v>
      </c>
      <c r="U48" s="358"/>
      <c r="V48" s="349"/>
      <c r="W48" s="359"/>
      <c r="X48" s="360"/>
      <c r="Y48" s="359"/>
      <c r="Z48" s="361"/>
      <c r="AA48" s="362"/>
      <c r="AB48" s="358"/>
      <c r="AC48" s="349"/>
      <c r="AD48" s="362"/>
      <c r="AE48" s="363"/>
      <c r="AF48" s="364"/>
      <c r="AG48" s="365"/>
      <c r="AH48" s="366"/>
      <c r="AI48" s="351"/>
      <c r="AJ48" s="389"/>
      <c r="AK48" s="390"/>
      <c r="AL48" s="391"/>
      <c r="AO48" s="19"/>
      <c r="AP48" s="19"/>
      <c r="AQ48" s="19"/>
      <c r="AR48" s="19"/>
      <c r="AS48" s="19"/>
      <c r="AT48" s="19"/>
      <c r="AU48" s="19"/>
      <c r="AV48" s="19"/>
      <c r="AW48" s="19"/>
      <c r="AX48" s="19"/>
    </row>
    <row r="49" spans="1:50" ht="13.2" x14ac:dyDescent="0.3">
      <c r="B49" s="348"/>
      <c r="C49" s="349"/>
      <c r="D49" s="350"/>
      <c r="E49" s="349"/>
      <c r="F49" s="350"/>
      <c r="G49" s="351"/>
      <c r="H49" s="352"/>
      <c r="I49" s="353"/>
      <c r="J49" s="349"/>
      <c r="K49" s="350"/>
      <c r="L49" s="349"/>
      <c r="M49" s="350"/>
      <c r="N49" s="354"/>
      <c r="O49" s="355">
        <f t="shared" si="12"/>
        <v>0</v>
      </c>
      <c r="P49" s="355">
        <f t="shared" si="13"/>
        <v>0</v>
      </c>
      <c r="Q49" s="356">
        <f t="shared" si="14"/>
        <v>0</v>
      </c>
      <c r="R49" s="357">
        <f t="shared" si="15"/>
        <v>61</v>
      </c>
      <c r="S49" s="357">
        <f t="shared" si="16"/>
        <v>0</v>
      </c>
      <c r="T49" s="357">
        <f t="shared" si="17"/>
        <v>0</v>
      </c>
      <c r="U49" s="358"/>
      <c r="V49" s="349"/>
      <c r="W49" s="359"/>
      <c r="X49" s="360"/>
      <c r="Y49" s="359"/>
      <c r="Z49" s="361"/>
      <c r="AA49" s="362"/>
      <c r="AB49" s="358"/>
      <c r="AC49" s="349"/>
      <c r="AD49" s="362"/>
      <c r="AE49" s="363"/>
      <c r="AF49" s="364"/>
      <c r="AG49" s="365"/>
      <c r="AH49" s="366"/>
      <c r="AI49" s="351"/>
      <c r="AJ49" s="389"/>
      <c r="AK49" s="390"/>
      <c r="AL49" s="391"/>
      <c r="AO49" s="19"/>
      <c r="AP49" s="19"/>
      <c r="AQ49" s="19"/>
      <c r="AR49" s="19"/>
      <c r="AS49" s="19"/>
      <c r="AT49" s="19"/>
      <c r="AU49" s="19"/>
      <c r="AV49" s="19"/>
      <c r="AW49" s="19"/>
      <c r="AX49" s="19"/>
    </row>
    <row r="50" spans="1:50" ht="13.2" x14ac:dyDescent="0.3">
      <c r="B50" s="348"/>
      <c r="C50" s="349"/>
      <c r="D50" s="350"/>
      <c r="E50" s="349"/>
      <c r="F50" s="350"/>
      <c r="G50" s="351"/>
      <c r="H50" s="352"/>
      <c r="I50" s="353"/>
      <c r="J50" s="349"/>
      <c r="K50" s="350"/>
      <c r="L50" s="349"/>
      <c r="M50" s="350"/>
      <c r="N50" s="354"/>
      <c r="O50" s="355">
        <f t="shared" si="12"/>
        <v>0</v>
      </c>
      <c r="P50" s="355">
        <f t="shared" si="13"/>
        <v>0</v>
      </c>
      <c r="Q50" s="356">
        <f t="shared" si="14"/>
        <v>0</v>
      </c>
      <c r="R50" s="357">
        <f t="shared" si="15"/>
        <v>61</v>
      </c>
      <c r="S50" s="357">
        <f t="shared" si="16"/>
        <v>0</v>
      </c>
      <c r="T50" s="357">
        <f t="shared" si="17"/>
        <v>0</v>
      </c>
      <c r="U50" s="358"/>
      <c r="V50" s="349"/>
      <c r="W50" s="359"/>
      <c r="X50" s="360"/>
      <c r="Y50" s="359"/>
      <c r="Z50" s="361"/>
      <c r="AA50" s="362"/>
      <c r="AB50" s="358"/>
      <c r="AC50" s="349"/>
      <c r="AD50" s="362"/>
      <c r="AE50" s="363"/>
      <c r="AF50" s="364"/>
      <c r="AG50" s="365"/>
      <c r="AH50" s="366"/>
      <c r="AI50" s="351"/>
      <c r="AJ50" s="389"/>
      <c r="AK50" s="390"/>
      <c r="AL50" s="391"/>
      <c r="AO50" s="19"/>
      <c r="AP50" s="19"/>
      <c r="AQ50" s="19"/>
      <c r="AR50" s="19"/>
      <c r="AS50" s="19"/>
      <c r="AT50" s="19"/>
      <c r="AU50" s="19"/>
      <c r="AV50" s="19"/>
      <c r="AW50" s="19"/>
      <c r="AX50" s="19"/>
    </row>
    <row r="51" spans="1:50" ht="13.2" x14ac:dyDescent="0.3">
      <c r="B51" s="348"/>
      <c r="C51" s="349"/>
      <c r="D51" s="350"/>
      <c r="E51" s="349"/>
      <c r="F51" s="350"/>
      <c r="G51" s="351"/>
      <c r="H51" s="352"/>
      <c r="I51" s="353"/>
      <c r="J51" s="349"/>
      <c r="K51" s="350"/>
      <c r="L51" s="349"/>
      <c r="M51" s="350"/>
      <c r="N51" s="354"/>
      <c r="O51" s="355">
        <f t="shared" si="12"/>
        <v>0</v>
      </c>
      <c r="P51" s="355">
        <f t="shared" si="13"/>
        <v>0</v>
      </c>
      <c r="Q51" s="356">
        <f t="shared" si="14"/>
        <v>0</v>
      </c>
      <c r="R51" s="357">
        <f t="shared" si="15"/>
        <v>61</v>
      </c>
      <c r="S51" s="357">
        <f t="shared" si="16"/>
        <v>0</v>
      </c>
      <c r="T51" s="357">
        <f t="shared" si="17"/>
        <v>0</v>
      </c>
      <c r="U51" s="358"/>
      <c r="V51" s="349"/>
      <c r="W51" s="359"/>
      <c r="X51" s="360"/>
      <c r="Y51" s="359"/>
      <c r="Z51" s="361"/>
      <c r="AA51" s="362"/>
      <c r="AB51" s="358"/>
      <c r="AC51" s="349"/>
      <c r="AD51" s="362"/>
      <c r="AE51" s="363"/>
      <c r="AF51" s="364"/>
      <c r="AG51" s="365"/>
      <c r="AH51" s="366"/>
      <c r="AI51" s="351"/>
      <c r="AJ51" s="389"/>
      <c r="AK51" s="390"/>
      <c r="AL51" s="391"/>
      <c r="AO51" s="19"/>
      <c r="AP51" s="19"/>
      <c r="AQ51" s="19"/>
      <c r="AR51" s="19"/>
      <c r="AS51" s="19"/>
      <c r="AT51" s="19"/>
      <c r="AU51" s="19"/>
      <c r="AV51" s="19"/>
      <c r="AW51" s="19"/>
      <c r="AX51" s="19"/>
    </row>
    <row r="52" spans="1:50" ht="13.2" x14ac:dyDescent="0.3">
      <c r="B52" s="348"/>
      <c r="C52" s="349"/>
      <c r="D52" s="350"/>
      <c r="E52" s="349"/>
      <c r="F52" s="350"/>
      <c r="G52" s="351"/>
      <c r="H52" s="352"/>
      <c r="I52" s="353"/>
      <c r="J52" s="349"/>
      <c r="K52" s="350"/>
      <c r="L52" s="349"/>
      <c r="M52" s="350"/>
      <c r="N52" s="354"/>
      <c r="O52" s="355">
        <f t="shared" si="12"/>
        <v>0</v>
      </c>
      <c r="P52" s="355">
        <f t="shared" si="13"/>
        <v>0</v>
      </c>
      <c r="Q52" s="356">
        <f t="shared" si="14"/>
        <v>0</v>
      </c>
      <c r="R52" s="357">
        <f t="shared" si="15"/>
        <v>61</v>
      </c>
      <c r="S52" s="357">
        <f t="shared" si="16"/>
        <v>0</v>
      </c>
      <c r="T52" s="357">
        <f t="shared" si="17"/>
        <v>0</v>
      </c>
      <c r="U52" s="358"/>
      <c r="V52" s="349"/>
      <c r="W52" s="359"/>
      <c r="X52" s="360"/>
      <c r="Y52" s="359"/>
      <c r="Z52" s="361"/>
      <c r="AA52" s="362"/>
      <c r="AB52" s="358"/>
      <c r="AC52" s="349"/>
      <c r="AD52" s="362"/>
      <c r="AE52" s="363"/>
      <c r="AF52" s="364"/>
      <c r="AG52" s="365"/>
      <c r="AH52" s="366"/>
      <c r="AI52" s="351"/>
      <c r="AJ52" s="389"/>
      <c r="AK52" s="390"/>
      <c r="AL52" s="391"/>
      <c r="AO52" s="19"/>
      <c r="AP52" s="19"/>
      <c r="AQ52" s="19"/>
      <c r="AR52" s="19"/>
      <c r="AS52" s="19"/>
      <c r="AT52" s="19"/>
      <c r="AU52" s="19"/>
      <c r="AV52" s="19"/>
      <c r="AW52" s="19"/>
      <c r="AX52" s="19"/>
    </row>
    <row r="53" spans="1:50" ht="13.2" x14ac:dyDescent="0.3">
      <c r="B53" s="348"/>
      <c r="C53" s="349"/>
      <c r="D53" s="350"/>
      <c r="E53" s="349"/>
      <c r="F53" s="350"/>
      <c r="G53" s="351"/>
      <c r="H53" s="352"/>
      <c r="I53" s="353"/>
      <c r="J53" s="349"/>
      <c r="K53" s="350"/>
      <c r="L53" s="349"/>
      <c r="M53" s="350"/>
      <c r="N53" s="354"/>
      <c r="O53" s="355">
        <f t="shared" si="12"/>
        <v>0</v>
      </c>
      <c r="P53" s="355">
        <f t="shared" si="13"/>
        <v>0</v>
      </c>
      <c r="Q53" s="356">
        <f t="shared" si="14"/>
        <v>0</v>
      </c>
      <c r="R53" s="357">
        <f t="shared" si="15"/>
        <v>61</v>
      </c>
      <c r="S53" s="357">
        <f t="shared" si="16"/>
        <v>0</v>
      </c>
      <c r="T53" s="357">
        <f t="shared" si="17"/>
        <v>0</v>
      </c>
      <c r="U53" s="358"/>
      <c r="V53" s="349"/>
      <c r="W53" s="359"/>
      <c r="X53" s="360"/>
      <c r="Y53" s="359"/>
      <c r="Z53" s="361"/>
      <c r="AA53" s="362"/>
      <c r="AB53" s="358"/>
      <c r="AC53" s="349"/>
      <c r="AD53" s="362"/>
      <c r="AE53" s="363"/>
      <c r="AF53" s="364"/>
      <c r="AG53" s="365"/>
      <c r="AH53" s="366"/>
      <c r="AI53" s="351"/>
      <c r="AJ53" s="389"/>
      <c r="AK53" s="390"/>
      <c r="AL53" s="391"/>
      <c r="AO53" s="19"/>
      <c r="AP53" s="19"/>
      <c r="AQ53" s="19"/>
      <c r="AR53" s="19"/>
      <c r="AS53" s="19"/>
      <c r="AT53" s="19"/>
      <c r="AU53" s="19"/>
      <c r="AV53" s="19"/>
      <c r="AW53" s="19"/>
      <c r="AX53" s="19"/>
    </row>
    <row r="54" spans="1:50" ht="13.2" x14ac:dyDescent="0.3">
      <c r="B54" s="348"/>
      <c r="C54" s="349"/>
      <c r="D54" s="350"/>
      <c r="E54" s="349"/>
      <c r="F54" s="350"/>
      <c r="G54" s="351"/>
      <c r="H54" s="352"/>
      <c r="I54" s="353"/>
      <c r="J54" s="349"/>
      <c r="K54" s="350"/>
      <c r="L54" s="349"/>
      <c r="M54" s="350"/>
      <c r="N54" s="354"/>
      <c r="O54" s="355">
        <f t="shared" si="12"/>
        <v>0</v>
      </c>
      <c r="P54" s="355">
        <f t="shared" si="13"/>
        <v>0</v>
      </c>
      <c r="Q54" s="356">
        <f t="shared" si="14"/>
        <v>0</v>
      </c>
      <c r="R54" s="357">
        <f t="shared" si="15"/>
        <v>61</v>
      </c>
      <c r="S54" s="357">
        <f t="shared" si="16"/>
        <v>0</v>
      </c>
      <c r="T54" s="357">
        <f t="shared" si="17"/>
        <v>0</v>
      </c>
      <c r="U54" s="358"/>
      <c r="V54" s="349"/>
      <c r="W54" s="359"/>
      <c r="X54" s="360"/>
      <c r="Y54" s="359"/>
      <c r="Z54" s="361"/>
      <c r="AA54" s="362"/>
      <c r="AB54" s="358"/>
      <c r="AC54" s="349"/>
      <c r="AD54" s="362"/>
      <c r="AE54" s="363"/>
      <c r="AF54" s="364"/>
      <c r="AG54" s="365"/>
      <c r="AH54" s="366"/>
      <c r="AI54" s="351"/>
      <c r="AJ54" s="389"/>
      <c r="AK54" s="390"/>
      <c r="AL54" s="391"/>
      <c r="AO54" s="19"/>
      <c r="AP54" s="19"/>
      <c r="AQ54" s="19"/>
      <c r="AR54" s="19"/>
      <c r="AS54" s="19"/>
      <c r="AT54" s="19"/>
      <c r="AU54" s="19"/>
      <c r="AV54" s="19"/>
      <c r="AW54" s="19"/>
      <c r="AX54" s="19"/>
    </row>
    <row r="55" spans="1:50" ht="13.2" x14ac:dyDescent="0.3">
      <c r="B55" s="348"/>
      <c r="C55" s="349"/>
      <c r="D55" s="350"/>
      <c r="E55" s="349"/>
      <c r="F55" s="350"/>
      <c r="G55" s="351"/>
      <c r="H55" s="352"/>
      <c r="I55" s="353"/>
      <c r="J55" s="349"/>
      <c r="K55" s="350"/>
      <c r="L55" s="349"/>
      <c r="M55" s="350"/>
      <c r="N55" s="354"/>
      <c r="O55" s="355">
        <f t="shared" si="12"/>
        <v>0</v>
      </c>
      <c r="P55" s="355">
        <f t="shared" si="13"/>
        <v>0</v>
      </c>
      <c r="Q55" s="356">
        <f t="shared" si="14"/>
        <v>0</v>
      </c>
      <c r="R55" s="357">
        <f t="shared" si="15"/>
        <v>61</v>
      </c>
      <c r="S55" s="357">
        <f t="shared" si="16"/>
        <v>0</v>
      </c>
      <c r="T55" s="357">
        <f t="shared" si="17"/>
        <v>0</v>
      </c>
      <c r="U55" s="358"/>
      <c r="V55" s="349"/>
      <c r="W55" s="359"/>
      <c r="X55" s="360"/>
      <c r="Y55" s="359"/>
      <c r="Z55" s="361"/>
      <c r="AA55" s="362"/>
      <c r="AB55" s="358"/>
      <c r="AC55" s="349"/>
      <c r="AD55" s="362"/>
      <c r="AE55" s="363"/>
      <c r="AF55" s="364"/>
      <c r="AG55" s="365"/>
      <c r="AH55" s="366"/>
      <c r="AI55" s="351"/>
      <c r="AJ55" s="389"/>
      <c r="AK55" s="390"/>
      <c r="AL55" s="391"/>
      <c r="AO55" s="19"/>
      <c r="AP55" s="19"/>
      <c r="AQ55" s="19"/>
      <c r="AR55" s="19"/>
      <c r="AS55" s="19"/>
      <c r="AT55" s="19"/>
      <c r="AU55" s="19"/>
      <c r="AV55" s="19"/>
      <c r="AW55" s="19"/>
      <c r="AX55" s="19"/>
    </row>
    <row r="56" spans="1:50" ht="13.2" x14ac:dyDescent="0.3">
      <c r="B56" s="348"/>
      <c r="C56" s="349"/>
      <c r="D56" s="350"/>
      <c r="E56" s="349"/>
      <c r="F56" s="350"/>
      <c r="G56" s="351"/>
      <c r="H56" s="352"/>
      <c r="I56" s="353"/>
      <c r="J56" s="349"/>
      <c r="K56" s="350"/>
      <c r="L56" s="349"/>
      <c r="M56" s="350"/>
      <c r="N56" s="354"/>
      <c r="O56" s="355">
        <f t="shared" si="12"/>
        <v>0</v>
      </c>
      <c r="P56" s="355">
        <f t="shared" si="13"/>
        <v>0</v>
      </c>
      <c r="Q56" s="356">
        <f t="shared" si="14"/>
        <v>0</v>
      </c>
      <c r="R56" s="357">
        <f t="shared" si="15"/>
        <v>61</v>
      </c>
      <c r="S56" s="357">
        <f t="shared" si="16"/>
        <v>0</v>
      </c>
      <c r="T56" s="357">
        <f t="shared" si="17"/>
        <v>0</v>
      </c>
      <c r="U56" s="358"/>
      <c r="V56" s="349"/>
      <c r="W56" s="359"/>
      <c r="X56" s="360"/>
      <c r="Y56" s="359"/>
      <c r="Z56" s="361"/>
      <c r="AA56" s="362"/>
      <c r="AB56" s="358"/>
      <c r="AC56" s="349"/>
      <c r="AD56" s="362"/>
      <c r="AE56" s="363"/>
      <c r="AF56" s="364"/>
      <c r="AG56" s="365"/>
      <c r="AH56" s="366"/>
      <c r="AI56" s="351"/>
      <c r="AJ56" s="389"/>
      <c r="AK56" s="390"/>
      <c r="AL56" s="391"/>
      <c r="AO56" s="19"/>
      <c r="AP56" s="19"/>
      <c r="AQ56" s="19"/>
      <c r="AR56" s="19"/>
      <c r="AS56" s="19"/>
      <c r="AT56" s="19"/>
      <c r="AU56" s="19"/>
      <c r="AV56" s="19"/>
      <c r="AW56" s="19"/>
      <c r="AX56" s="19"/>
    </row>
    <row r="57" spans="1:50" ht="13.2" x14ac:dyDescent="0.3">
      <c r="B57" s="348"/>
      <c r="C57" s="349"/>
      <c r="D57" s="350"/>
      <c r="E57" s="349"/>
      <c r="F57" s="350"/>
      <c r="G57" s="351"/>
      <c r="H57" s="352"/>
      <c r="I57" s="353"/>
      <c r="J57" s="349"/>
      <c r="K57" s="350"/>
      <c r="L57" s="349"/>
      <c r="M57" s="350"/>
      <c r="N57" s="354"/>
      <c r="O57" s="355">
        <f t="shared" si="12"/>
        <v>0</v>
      </c>
      <c r="P57" s="355">
        <f t="shared" si="13"/>
        <v>0</v>
      </c>
      <c r="Q57" s="356">
        <f t="shared" si="14"/>
        <v>0</v>
      </c>
      <c r="R57" s="357">
        <f t="shared" si="15"/>
        <v>61</v>
      </c>
      <c r="S57" s="357">
        <f t="shared" si="16"/>
        <v>0</v>
      </c>
      <c r="T57" s="357">
        <f t="shared" si="17"/>
        <v>0</v>
      </c>
      <c r="U57" s="358"/>
      <c r="V57" s="349"/>
      <c r="W57" s="359"/>
      <c r="X57" s="360"/>
      <c r="Y57" s="359"/>
      <c r="Z57" s="361"/>
      <c r="AA57" s="362"/>
      <c r="AB57" s="358"/>
      <c r="AC57" s="349"/>
      <c r="AD57" s="362"/>
      <c r="AE57" s="363"/>
      <c r="AF57" s="364"/>
      <c r="AG57" s="365"/>
      <c r="AH57" s="366"/>
      <c r="AI57" s="351"/>
      <c r="AJ57" s="389"/>
      <c r="AK57" s="390"/>
      <c r="AL57" s="391"/>
      <c r="AO57" s="19"/>
      <c r="AP57" s="19"/>
      <c r="AQ57" s="19"/>
      <c r="AR57" s="19"/>
      <c r="AS57" s="19"/>
      <c r="AT57" s="19"/>
      <c r="AU57" s="19"/>
      <c r="AV57" s="19"/>
      <c r="AW57" s="19"/>
      <c r="AX57" s="19"/>
    </row>
    <row r="58" spans="1:50" ht="13.2" x14ac:dyDescent="0.3">
      <c r="B58" s="348"/>
      <c r="C58" s="349"/>
      <c r="D58" s="350"/>
      <c r="E58" s="349"/>
      <c r="F58" s="350"/>
      <c r="G58" s="351"/>
      <c r="H58" s="352"/>
      <c r="I58" s="353"/>
      <c r="J58" s="349"/>
      <c r="K58" s="350"/>
      <c r="L58" s="349"/>
      <c r="M58" s="350"/>
      <c r="N58" s="354"/>
      <c r="O58" s="355">
        <f t="shared" si="12"/>
        <v>0</v>
      </c>
      <c r="P58" s="355">
        <f t="shared" si="13"/>
        <v>0</v>
      </c>
      <c r="Q58" s="356">
        <f t="shared" si="14"/>
        <v>0</v>
      </c>
      <c r="R58" s="357">
        <f t="shared" si="15"/>
        <v>61</v>
      </c>
      <c r="S58" s="357">
        <f t="shared" si="16"/>
        <v>0</v>
      </c>
      <c r="T58" s="357">
        <f t="shared" si="17"/>
        <v>0</v>
      </c>
      <c r="U58" s="358"/>
      <c r="V58" s="349"/>
      <c r="W58" s="359"/>
      <c r="X58" s="360"/>
      <c r="Y58" s="359"/>
      <c r="Z58" s="361"/>
      <c r="AA58" s="362"/>
      <c r="AB58" s="358"/>
      <c r="AC58" s="349"/>
      <c r="AD58" s="362"/>
      <c r="AE58" s="363"/>
      <c r="AF58" s="364"/>
      <c r="AG58" s="365"/>
      <c r="AH58" s="366"/>
      <c r="AI58" s="351"/>
      <c r="AJ58" s="389"/>
      <c r="AK58" s="390"/>
      <c r="AL58" s="391"/>
      <c r="AO58" s="19"/>
      <c r="AP58" s="19"/>
      <c r="AQ58" s="19"/>
      <c r="AR58" s="19"/>
      <c r="AS58" s="19"/>
      <c r="AT58" s="19"/>
      <c r="AU58" s="19"/>
      <c r="AV58" s="19"/>
      <c r="AW58" s="19"/>
      <c r="AX58" s="19"/>
    </row>
    <row r="59" spans="1:50" ht="13.2" x14ac:dyDescent="0.3">
      <c r="B59" s="348"/>
      <c r="C59" s="349"/>
      <c r="D59" s="350"/>
      <c r="E59" s="349"/>
      <c r="F59" s="350"/>
      <c r="G59" s="351"/>
      <c r="H59" s="352"/>
      <c r="I59" s="353"/>
      <c r="J59" s="349"/>
      <c r="K59" s="350"/>
      <c r="L59" s="349"/>
      <c r="M59" s="350"/>
      <c r="N59" s="354"/>
      <c r="O59" s="355">
        <f t="shared" si="12"/>
        <v>0</v>
      </c>
      <c r="P59" s="355">
        <f t="shared" si="13"/>
        <v>0</v>
      </c>
      <c r="Q59" s="356">
        <f t="shared" si="14"/>
        <v>0</v>
      </c>
      <c r="R59" s="357">
        <f t="shared" si="15"/>
        <v>61</v>
      </c>
      <c r="S59" s="357">
        <f t="shared" si="16"/>
        <v>0</v>
      </c>
      <c r="T59" s="357">
        <f t="shared" si="17"/>
        <v>0</v>
      </c>
      <c r="U59" s="358"/>
      <c r="V59" s="349"/>
      <c r="W59" s="359"/>
      <c r="X59" s="360"/>
      <c r="Y59" s="359"/>
      <c r="Z59" s="361"/>
      <c r="AA59" s="362"/>
      <c r="AB59" s="358"/>
      <c r="AC59" s="349"/>
      <c r="AD59" s="362"/>
      <c r="AE59" s="363"/>
      <c r="AF59" s="364"/>
      <c r="AG59" s="365"/>
      <c r="AH59" s="366"/>
      <c r="AI59" s="351"/>
      <c r="AJ59" s="389"/>
      <c r="AK59" s="390"/>
      <c r="AL59" s="391"/>
      <c r="AO59" s="19"/>
      <c r="AP59" s="19"/>
      <c r="AQ59" s="19"/>
      <c r="AR59" s="19"/>
      <c r="AS59" s="19"/>
      <c r="AT59" s="19"/>
      <c r="AU59" s="19"/>
      <c r="AV59" s="19"/>
      <c r="AW59" s="19"/>
      <c r="AX59" s="19"/>
    </row>
    <row r="60" spans="1:50" ht="13.2" x14ac:dyDescent="0.3">
      <c r="B60" s="348"/>
      <c r="C60" s="349"/>
      <c r="D60" s="350"/>
      <c r="E60" s="349"/>
      <c r="F60" s="350"/>
      <c r="G60" s="351"/>
      <c r="H60" s="352"/>
      <c r="I60" s="353"/>
      <c r="J60" s="349"/>
      <c r="K60" s="350"/>
      <c r="L60" s="349"/>
      <c r="M60" s="350"/>
      <c r="N60" s="354"/>
      <c r="O60" s="355">
        <f t="shared" si="12"/>
        <v>0</v>
      </c>
      <c r="P60" s="355">
        <f t="shared" si="13"/>
        <v>0</v>
      </c>
      <c r="Q60" s="356">
        <f t="shared" si="14"/>
        <v>0</v>
      </c>
      <c r="R60" s="357">
        <f t="shared" si="15"/>
        <v>61</v>
      </c>
      <c r="S60" s="357">
        <f t="shared" si="16"/>
        <v>0</v>
      </c>
      <c r="T60" s="357">
        <f t="shared" si="17"/>
        <v>0</v>
      </c>
      <c r="U60" s="358"/>
      <c r="V60" s="349"/>
      <c r="W60" s="359"/>
      <c r="X60" s="360"/>
      <c r="Y60" s="359"/>
      <c r="Z60" s="361"/>
      <c r="AA60" s="362"/>
      <c r="AB60" s="358"/>
      <c r="AC60" s="349"/>
      <c r="AD60" s="362"/>
      <c r="AE60" s="363"/>
      <c r="AF60" s="364"/>
      <c r="AG60" s="365"/>
      <c r="AH60" s="366"/>
      <c r="AI60" s="351"/>
      <c r="AJ60" s="389"/>
      <c r="AK60" s="390"/>
      <c r="AL60" s="391"/>
      <c r="AO60" s="19"/>
      <c r="AP60" s="19"/>
      <c r="AQ60" s="19"/>
      <c r="AR60" s="19"/>
      <c r="AS60" s="19"/>
      <c r="AT60" s="19"/>
      <c r="AU60" s="19"/>
      <c r="AV60" s="19"/>
      <c r="AW60" s="19"/>
      <c r="AX60" s="19"/>
    </row>
    <row r="61" spans="1:50" ht="13.2" x14ac:dyDescent="0.3">
      <c r="A61" s="392"/>
      <c r="B61" s="348"/>
      <c r="C61" s="349"/>
      <c r="D61" s="350"/>
      <c r="E61" s="349"/>
      <c r="F61" s="350"/>
      <c r="G61" s="351"/>
      <c r="H61" s="352"/>
      <c r="I61" s="353"/>
      <c r="J61" s="349"/>
      <c r="K61" s="350"/>
      <c r="L61" s="349"/>
      <c r="M61" s="350"/>
      <c r="N61" s="354"/>
      <c r="O61" s="355">
        <f t="shared" si="12"/>
        <v>0</v>
      </c>
      <c r="P61" s="355">
        <f t="shared" si="13"/>
        <v>0</v>
      </c>
      <c r="Q61" s="356">
        <f t="shared" si="14"/>
        <v>0</v>
      </c>
      <c r="R61" s="357">
        <f t="shared" si="15"/>
        <v>61</v>
      </c>
      <c r="S61" s="357">
        <f t="shared" si="16"/>
        <v>0</v>
      </c>
      <c r="T61" s="357">
        <f t="shared" si="17"/>
        <v>0</v>
      </c>
      <c r="U61" s="358"/>
      <c r="V61" s="349"/>
      <c r="W61" s="359"/>
      <c r="X61" s="360"/>
      <c r="Y61" s="359"/>
      <c r="Z61" s="361"/>
      <c r="AA61" s="362"/>
      <c r="AB61" s="358"/>
      <c r="AC61" s="349"/>
      <c r="AD61" s="362"/>
      <c r="AE61" s="363"/>
      <c r="AF61" s="364"/>
      <c r="AG61" s="365"/>
      <c r="AH61" s="366"/>
      <c r="AI61" s="351"/>
      <c r="AJ61" s="389"/>
      <c r="AK61" s="390"/>
      <c r="AL61" s="391"/>
      <c r="AO61" s="19"/>
      <c r="AP61" s="19"/>
      <c r="AQ61" s="19"/>
      <c r="AR61" s="19"/>
      <c r="AS61" s="19"/>
      <c r="AT61" s="19"/>
      <c r="AU61" s="19"/>
      <c r="AV61" s="19"/>
      <c r="AW61" s="19"/>
      <c r="AX61" s="19"/>
    </row>
    <row r="62" spans="1:50" ht="13.2" x14ac:dyDescent="0.3">
      <c r="B62" s="348"/>
      <c r="C62" s="349"/>
      <c r="D62" s="350"/>
      <c r="E62" s="349"/>
      <c r="F62" s="350"/>
      <c r="G62" s="351"/>
      <c r="H62" s="352"/>
      <c r="I62" s="353"/>
      <c r="J62" s="349"/>
      <c r="K62" s="350"/>
      <c r="L62" s="349"/>
      <c r="M62" s="350"/>
      <c r="N62" s="354"/>
      <c r="O62" s="355">
        <f t="shared" si="12"/>
        <v>0</v>
      </c>
      <c r="P62" s="355">
        <f t="shared" si="13"/>
        <v>0</v>
      </c>
      <c r="Q62" s="356">
        <f t="shared" si="14"/>
        <v>0</v>
      </c>
      <c r="R62" s="357">
        <f t="shared" si="15"/>
        <v>61</v>
      </c>
      <c r="S62" s="357">
        <f t="shared" si="16"/>
        <v>0</v>
      </c>
      <c r="T62" s="357">
        <f t="shared" si="17"/>
        <v>0</v>
      </c>
      <c r="U62" s="358"/>
      <c r="V62" s="349"/>
      <c r="W62" s="359"/>
      <c r="X62" s="360"/>
      <c r="Y62" s="359"/>
      <c r="Z62" s="361"/>
      <c r="AA62" s="362"/>
      <c r="AB62" s="358"/>
      <c r="AC62" s="349"/>
      <c r="AD62" s="362"/>
      <c r="AE62" s="363"/>
      <c r="AF62" s="364"/>
      <c r="AG62" s="365"/>
      <c r="AH62" s="366"/>
      <c r="AI62" s="351"/>
      <c r="AJ62" s="389"/>
      <c r="AK62" s="390"/>
      <c r="AL62" s="391"/>
      <c r="AO62" s="19"/>
      <c r="AP62" s="19"/>
      <c r="AQ62" s="19"/>
      <c r="AR62" s="19"/>
      <c r="AS62" s="19"/>
      <c r="AT62" s="19"/>
      <c r="AU62" s="19"/>
      <c r="AV62" s="19"/>
      <c r="AW62" s="19"/>
      <c r="AX62" s="19"/>
    </row>
    <row r="63" spans="1:50" ht="13.2" x14ac:dyDescent="0.3">
      <c r="B63" s="348"/>
      <c r="C63" s="349"/>
      <c r="D63" s="350"/>
      <c r="E63" s="349"/>
      <c r="F63" s="350"/>
      <c r="G63" s="351"/>
      <c r="H63" s="352"/>
      <c r="I63" s="353"/>
      <c r="J63" s="349"/>
      <c r="K63" s="350"/>
      <c r="L63" s="349"/>
      <c r="M63" s="350"/>
      <c r="N63" s="354"/>
      <c r="O63" s="355">
        <f t="shared" si="12"/>
        <v>0</v>
      </c>
      <c r="P63" s="355">
        <f t="shared" si="13"/>
        <v>0</v>
      </c>
      <c r="Q63" s="356">
        <f t="shared" si="14"/>
        <v>0</v>
      </c>
      <c r="R63" s="357">
        <f t="shared" si="15"/>
        <v>61</v>
      </c>
      <c r="S63" s="357">
        <f t="shared" si="16"/>
        <v>0</v>
      </c>
      <c r="T63" s="357">
        <f t="shared" si="17"/>
        <v>0</v>
      </c>
      <c r="U63" s="358"/>
      <c r="V63" s="349"/>
      <c r="W63" s="359"/>
      <c r="X63" s="360"/>
      <c r="Y63" s="359"/>
      <c r="Z63" s="361"/>
      <c r="AA63" s="362"/>
      <c r="AB63" s="358"/>
      <c r="AC63" s="349"/>
      <c r="AD63" s="362"/>
      <c r="AE63" s="363"/>
      <c r="AF63" s="364"/>
      <c r="AG63" s="365"/>
      <c r="AH63" s="366"/>
      <c r="AI63" s="351"/>
      <c r="AJ63" s="389"/>
      <c r="AK63" s="390"/>
      <c r="AL63" s="391"/>
      <c r="AO63" s="19"/>
      <c r="AP63" s="19"/>
      <c r="AQ63" s="19"/>
      <c r="AR63" s="19"/>
      <c r="AS63" s="19"/>
      <c r="AT63" s="19"/>
      <c r="AU63" s="19"/>
      <c r="AV63" s="19"/>
      <c r="AW63" s="19"/>
      <c r="AX63" s="19"/>
    </row>
    <row r="64" spans="1:50" s="36" customFormat="1" x14ac:dyDescent="0.3">
      <c r="A64" s="270"/>
      <c r="B64" s="348"/>
      <c r="C64" s="349"/>
      <c r="D64" s="350"/>
      <c r="E64" s="349"/>
      <c r="F64" s="350"/>
      <c r="G64" s="351"/>
      <c r="H64" s="352"/>
      <c r="I64" s="353"/>
      <c r="J64" s="349"/>
      <c r="K64" s="350"/>
      <c r="L64" s="349"/>
      <c r="M64" s="350"/>
      <c r="N64" s="354"/>
      <c r="O64" s="355">
        <f t="shared" si="12"/>
        <v>0</v>
      </c>
      <c r="P64" s="355">
        <f t="shared" si="13"/>
        <v>0</v>
      </c>
      <c r="Q64" s="356">
        <f t="shared" si="14"/>
        <v>0</v>
      </c>
      <c r="R64" s="357">
        <f t="shared" si="15"/>
        <v>61</v>
      </c>
      <c r="S64" s="357">
        <f t="shared" si="16"/>
        <v>0</v>
      </c>
      <c r="T64" s="357">
        <f t="shared" si="17"/>
        <v>0</v>
      </c>
      <c r="U64" s="358"/>
      <c r="V64" s="349"/>
      <c r="W64" s="359"/>
      <c r="X64" s="360"/>
      <c r="Y64" s="359"/>
      <c r="Z64" s="361"/>
      <c r="AA64" s="362"/>
      <c r="AB64" s="358"/>
      <c r="AC64" s="349"/>
      <c r="AD64" s="362"/>
      <c r="AE64" s="363"/>
      <c r="AF64" s="364"/>
      <c r="AG64" s="365"/>
      <c r="AH64" s="366"/>
      <c r="AI64" s="351"/>
      <c r="AJ64" s="393"/>
      <c r="AK64" s="394"/>
      <c r="AL64" s="395"/>
    </row>
    <row r="65" spans="2:50" ht="13.2" x14ac:dyDescent="0.3">
      <c r="B65" s="348"/>
      <c r="C65" s="349"/>
      <c r="D65" s="350"/>
      <c r="E65" s="349"/>
      <c r="F65" s="350"/>
      <c r="G65" s="351"/>
      <c r="H65" s="352"/>
      <c r="I65" s="353"/>
      <c r="J65" s="349"/>
      <c r="K65" s="350"/>
      <c r="L65" s="349"/>
      <c r="M65" s="350"/>
      <c r="N65" s="354"/>
      <c r="O65" s="355">
        <f t="shared" si="12"/>
        <v>0</v>
      </c>
      <c r="P65" s="355">
        <f t="shared" si="13"/>
        <v>0</v>
      </c>
      <c r="Q65" s="356">
        <f t="shared" si="14"/>
        <v>0</v>
      </c>
      <c r="R65" s="357">
        <f t="shared" si="15"/>
        <v>61</v>
      </c>
      <c r="S65" s="357">
        <f t="shared" si="16"/>
        <v>0</v>
      </c>
      <c r="T65" s="357">
        <f t="shared" si="17"/>
        <v>0</v>
      </c>
      <c r="U65" s="358"/>
      <c r="V65" s="349"/>
      <c r="W65" s="359"/>
      <c r="X65" s="360"/>
      <c r="Y65" s="359"/>
      <c r="Z65" s="361"/>
      <c r="AA65" s="362"/>
      <c r="AB65" s="358"/>
      <c r="AC65" s="349"/>
      <c r="AD65" s="362"/>
      <c r="AE65" s="363"/>
      <c r="AF65" s="364"/>
      <c r="AG65" s="365"/>
      <c r="AH65" s="366"/>
      <c r="AI65" s="351"/>
      <c r="AJ65" s="389"/>
      <c r="AK65" s="390"/>
      <c r="AL65" s="391"/>
    </row>
    <row r="66" spans="2:50" ht="13.2" x14ac:dyDescent="0.3">
      <c r="B66" s="396"/>
      <c r="C66" s="397"/>
      <c r="D66" s="398"/>
      <c r="E66" s="397"/>
      <c r="F66" s="398"/>
      <c r="G66" s="399"/>
      <c r="H66" s="400"/>
      <c r="I66" s="401"/>
      <c r="J66" s="397"/>
      <c r="K66" s="398"/>
      <c r="L66" s="397"/>
      <c r="M66" s="398"/>
      <c r="N66" s="402"/>
      <c r="O66" s="355">
        <f t="shared" si="12"/>
        <v>0</v>
      </c>
      <c r="P66" s="355">
        <f t="shared" si="13"/>
        <v>0</v>
      </c>
      <c r="Q66" s="356">
        <f t="shared" si="14"/>
        <v>0</v>
      </c>
      <c r="R66" s="357">
        <f t="shared" si="15"/>
        <v>61</v>
      </c>
      <c r="S66" s="357">
        <f t="shared" si="16"/>
        <v>0</v>
      </c>
      <c r="T66" s="357">
        <f t="shared" si="17"/>
        <v>0</v>
      </c>
      <c r="U66" s="403"/>
      <c r="V66" s="397"/>
      <c r="W66" s="404"/>
      <c r="X66" s="405"/>
      <c r="Y66" s="404"/>
      <c r="Z66" s="406"/>
      <c r="AA66" s="407"/>
      <c r="AB66" s="403"/>
      <c r="AC66" s="397"/>
      <c r="AD66" s="407"/>
      <c r="AE66" s="408"/>
      <c r="AF66" s="409"/>
      <c r="AG66" s="410"/>
      <c r="AH66" s="411"/>
      <c r="AI66" s="399"/>
      <c r="AJ66" s="412"/>
      <c r="AK66" s="413"/>
      <c r="AL66" s="414"/>
    </row>
    <row r="67" spans="2:50" x14ac:dyDescent="0.25">
      <c r="I67" s="19"/>
    </row>
    <row r="69" spans="2:50" x14ac:dyDescent="0.25">
      <c r="AB69" s="415"/>
      <c r="AC69" s="415"/>
      <c r="AO69" s="19"/>
      <c r="AP69" s="19"/>
      <c r="AQ69" s="19"/>
      <c r="AR69" s="19"/>
      <c r="AS69" s="19"/>
      <c r="AT69" s="19"/>
      <c r="AU69" s="19"/>
      <c r="AV69" s="19"/>
      <c r="AW69" s="19"/>
      <c r="AX69" s="19"/>
    </row>
    <row r="70" spans="2:50" x14ac:dyDescent="0.25">
      <c r="AA70" s="19"/>
    </row>
    <row r="71" spans="2:50" x14ac:dyDescent="0.25">
      <c r="AA71" s="19"/>
    </row>
    <row r="72" spans="2:50" x14ac:dyDescent="0.25">
      <c r="AO72" s="19"/>
      <c r="AP72" s="19"/>
      <c r="AQ72" s="19"/>
      <c r="AR72" s="19"/>
      <c r="AS72" s="19"/>
      <c r="AT72" s="19"/>
      <c r="AU72" s="19"/>
      <c r="AV72" s="19"/>
      <c r="AW72" s="19"/>
      <c r="AX72" s="19"/>
    </row>
    <row r="73" spans="2:50" x14ac:dyDescent="0.25">
      <c r="AO73" s="19"/>
      <c r="AP73" s="19"/>
      <c r="AQ73" s="19"/>
      <c r="AR73" s="19"/>
      <c r="AS73" s="19"/>
      <c r="AT73" s="19"/>
      <c r="AU73" s="19"/>
      <c r="AV73" s="19"/>
      <c r="AW73" s="19"/>
      <c r="AX73" s="19"/>
    </row>
    <row r="74" spans="2:50" x14ac:dyDescent="0.25">
      <c r="AO74" s="19"/>
      <c r="AP74" s="19"/>
      <c r="AQ74" s="19"/>
      <c r="AR74" s="19"/>
      <c r="AS74" s="19"/>
      <c r="AT74" s="19"/>
      <c r="AU74" s="19"/>
      <c r="AV74" s="19"/>
      <c r="AW74" s="19"/>
      <c r="AX74" s="19"/>
    </row>
    <row r="75" spans="2:50" x14ac:dyDescent="0.25">
      <c r="AO75" s="19"/>
      <c r="AP75" s="19"/>
      <c r="AQ75" s="19"/>
      <c r="AR75" s="19"/>
      <c r="AS75" s="19"/>
      <c r="AT75" s="19"/>
      <c r="AU75" s="19"/>
      <c r="AV75" s="19"/>
      <c r="AW75" s="19"/>
      <c r="AX75" s="19"/>
    </row>
    <row r="76" spans="2:50" x14ac:dyDescent="0.25">
      <c r="AO76" s="19"/>
      <c r="AP76" s="19"/>
      <c r="AQ76" s="19"/>
      <c r="AR76" s="19"/>
      <c r="AS76" s="19"/>
      <c r="AT76" s="19"/>
      <c r="AU76" s="19"/>
      <c r="AV76" s="19"/>
      <c r="AW76" s="19"/>
      <c r="AX76" s="19"/>
    </row>
    <row r="170" spans="41:41" s="19" customFormat="1" x14ac:dyDescent="0.25">
      <c r="AO170" s="376">
        <f>LEN(AF172)</f>
        <v>0</v>
      </c>
    </row>
  </sheetData>
  <sheetProtection algorithmName="SHA-512" hashValue="19+wZZ9bcG3CZrvld2smhY36sUuxuDqX0uzyPFnW+H9a7Z1MF3grUwvdNUcASqz5XIs0BisOPZL3zQp6bACUbQ==" saltValue="NbFJXOQPhF4pjKUTl1qFaw==" spinCount="100000" sheet="1" objects="1" scenarios="1" selectLockedCells="1"/>
  <mergeCells count="112">
    <mergeCell ref="B3:D3"/>
    <mergeCell ref="B4:G4"/>
    <mergeCell ref="H4:N4"/>
    <mergeCell ref="U4:AA4"/>
    <mergeCell ref="AB4:AD4"/>
    <mergeCell ref="AE4:AI4"/>
    <mergeCell ref="AJ4:AL4"/>
    <mergeCell ref="AC5:AD5"/>
    <mergeCell ref="AG5:AH5"/>
    <mergeCell ref="AN4:AY4"/>
    <mergeCell ref="C5:D5"/>
    <mergeCell ref="E5:F5"/>
    <mergeCell ref="J5:K5"/>
    <mergeCell ref="L5:M5"/>
    <mergeCell ref="O5:Q5"/>
    <mergeCell ref="R5:T5"/>
    <mergeCell ref="V5:W5"/>
    <mergeCell ref="X5:Y5"/>
    <mergeCell ref="Z5:AA5"/>
    <mergeCell ref="AW8:AX8"/>
    <mergeCell ref="AO10:AP10"/>
    <mergeCell ref="AQ10:AR10"/>
    <mergeCell ref="AS10:AT10"/>
    <mergeCell ref="AU10:AV10"/>
    <mergeCell ref="AW10:AX10"/>
    <mergeCell ref="AW5:AX5"/>
    <mergeCell ref="AO7:AP7"/>
    <mergeCell ref="AQ7:AR7"/>
    <mergeCell ref="AS7:AT7"/>
    <mergeCell ref="AU7:AV7"/>
    <mergeCell ref="AW7:AX7"/>
    <mergeCell ref="AO5:AP5"/>
    <mergeCell ref="AQ5:AR5"/>
    <mergeCell ref="AS5:AT5"/>
    <mergeCell ref="AU5:AV5"/>
    <mergeCell ref="AJ13:AL13"/>
    <mergeCell ref="AO13:AP13"/>
    <mergeCell ref="AQ13:AR13"/>
    <mergeCell ref="AS13:AT13"/>
    <mergeCell ref="AU13:AV13"/>
    <mergeCell ref="AO8:AP8"/>
    <mergeCell ref="AQ8:AR8"/>
    <mergeCell ref="AS8:AT8"/>
    <mergeCell ref="AU8:AV8"/>
    <mergeCell ref="AW13:AX13"/>
    <mergeCell ref="AO14:AP14"/>
    <mergeCell ref="AQ14:AR14"/>
    <mergeCell ref="AS14:AT14"/>
    <mergeCell ref="AU14:AV14"/>
    <mergeCell ref="AW14:AX14"/>
    <mergeCell ref="AO11:AP11"/>
    <mergeCell ref="AQ11:AR11"/>
    <mergeCell ref="AS11:AT11"/>
    <mergeCell ref="AU11:AV11"/>
    <mergeCell ref="AW11:AX11"/>
    <mergeCell ref="AO15:AP15"/>
    <mergeCell ref="AQ15:AR15"/>
    <mergeCell ref="AS15:AT15"/>
    <mergeCell ref="AU15:AV15"/>
    <mergeCell ref="AW15:AX15"/>
    <mergeCell ref="AO16:AP16"/>
    <mergeCell ref="AQ16:AR16"/>
    <mergeCell ref="AS16:AT16"/>
    <mergeCell ref="AU16:AV16"/>
    <mergeCell ref="AW16:AX16"/>
    <mergeCell ref="AO17:AP17"/>
    <mergeCell ref="AQ17:AR17"/>
    <mergeCell ref="AS17:AT17"/>
    <mergeCell ref="AU17:AV17"/>
    <mergeCell ref="AW17:AX17"/>
    <mergeCell ref="AO18:AP18"/>
    <mergeCell ref="AQ18:AR18"/>
    <mergeCell ref="AS18:AT18"/>
    <mergeCell ref="AU18:AV18"/>
    <mergeCell ref="AW18:AX18"/>
    <mergeCell ref="AO20:AP20"/>
    <mergeCell ref="AQ20:AR20"/>
    <mergeCell ref="AS20:AT20"/>
    <mergeCell ref="AU20:AV20"/>
    <mergeCell ref="AW20:AX20"/>
    <mergeCell ref="AO21:AP21"/>
    <mergeCell ref="AQ21:AR21"/>
    <mergeCell ref="AS21:AT21"/>
    <mergeCell ref="AU21:AV21"/>
    <mergeCell ref="AW21:AX21"/>
    <mergeCell ref="AJ25:AL25"/>
    <mergeCell ref="AO25:AP25"/>
    <mergeCell ref="AQ25:AR25"/>
    <mergeCell ref="AS25:AT25"/>
    <mergeCell ref="AU25:AV25"/>
    <mergeCell ref="AW25:AX25"/>
    <mergeCell ref="AO22:AP22"/>
    <mergeCell ref="AQ22:AR22"/>
    <mergeCell ref="AS22:AT22"/>
    <mergeCell ref="AU22:AV22"/>
    <mergeCell ref="AW22:AX22"/>
    <mergeCell ref="AO24:AP24"/>
    <mergeCell ref="AQ24:AR24"/>
    <mergeCell ref="AS24:AT24"/>
    <mergeCell ref="AU24:AV24"/>
    <mergeCell ref="AW24:AX24"/>
    <mergeCell ref="AQ29:AR29"/>
    <mergeCell ref="AV29:AW29"/>
    <mergeCell ref="AQ30:AR30"/>
    <mergeCell ref="AV30:AW30"/>
    <mergeCell ref="AO26:AP26"/>
    <mergeCell ref="AQ26:AR26"/>
    <mergeCell ref="AS26:AT26"/>
    <mergeCell ref="AU26:AV26"/>
    <mergeCell ref="AW26:AX26"/>
    <mergeCell ref="AO28:AR28"/>
    <mergeCell ref="AT28:AW28"/>
  </mergeCells>
  <conditionalFormatting sqref="B7:B66">
    <cfRule type="expression" dxfId="18" priority="4">
      <formula>IF(AND(NOT(ISBLANK(B7)),MAX(B8:$B$66)&gt;0,B7&gt;=MAX(B8:$B$66)),TRUE,FALSE)</formula>
    </cfRule>
  </conditionalFormatting>
  <conditionalFormatting sqref="N7:N66">
    <cfRule type="expression" dxfId="17" priority="2">
      <formula>IF(AND(N7&lt;&gt;0,OR(H7="Land",I7="Land")),TRUE,FALSE)</formula>
    </cfRule>
  </conditionalFormatting>
  <conditionalFormatting sqref="AK7:AK10">
    <cfRule type="expression" dxfId="16" priority="1">
      <formula>IF(SUM($AK$7:$AK$10)&lt;&gt;1,TRUE,FALSE)</formula>
    </cfRule>
  </conditionalFormatting>
  <conditionalFormatting sqref="AL7:AL10">
    <cfRule type="expression" dxfId="15" priority="3">
      <formula>IF(SUM($AL$7:$AL$10)&lt;&gt;1,TRUE,FALSE)</formula>
    </cfRule>
  </conditionalFormatting>
  <dataValidations count="12">
    <dataValidation type="custom" showInputMessage="1" showErrorMessage="1" error="Land does not depreciate; leave empty" sqref="N7:N12" xr:uid="{369343A8-7667-4170-A600-77A39458DF51}">
      <formula1>IF(OR(H7="land",H7="Land", I7="land", I7="Land"),FALSE,TRUE)</formula1>
    </dataValidation>
    <dataValidation type="decimal" operator="greaterThanOrEqual" allowBlank="1" showInputMessage="1" showErrorMessage="1" error="Enter a purchase amount &gt;=1 (in thousands)" sqref="K7:K12" xr:uid="{3AD3E85D-018F-450E-B582-47712869EC4D}">
      <formula1>1</formula1>
    </dataValidation>
    <dataValidation type="whole" allowBlank="1" showInputMessage="1" showErrorMessage="1" error="Enter a purchase month number between 1 and 60" sqref="J7:J12" xr:uid="{492EE0AD-B6F1-4A2D-8C8C-E35039EA82D5}">
      <formula1>1</formula1>
      <formula2>60</formula2>
    </dataValidation>
    <dataValidation type="custom" allowBlank="1" showInputMessage="1" showErrorMessage="1" error="Month out of order" sqref="L7:L12" xr:uid="{6212B2E0-A709-4A5E-A780-3F07D20C65AA}">
      <formula1>IF(  L7&gt;0,  IF(L7&lt;=J7, FALSE,TRUE),  TRUE)</formula1>
    </dataValidation>
    <dataValidation type="custom" allowBlank="1" showInputMessage="1" showErrorMessage="1" error="Month out of order" sqref="B40:B50" xr:uid="{FCED6B9D-93D1-4DF3-8F6D-71353DD73BE3}">
      <formula1>IF(OR(B40=0,B40&gt;60,B40&lt;=MAX(B$7:B29)),FALSE,TRUE)</formula1>
    </dataValidation>
    <dataValidation type="custom" allowBlank="1" showInputMessage="1" showErrorMessage="1" error="Month out of order" sqref="B51:B66 B8:B39" xr:uid="{538FB2C7-019F-4D3C-B87C-25176F7C998A}">
      <formula1>IF(OR(B8=0,B8&gt;60,B8&lt;=MAX(B$7:B7)),FALSE,TRUE)</formula1>
    </dataValidation>
    <dataValidation type="custom" showErrorMessage="1" error="Land does not depreciate_x000a_Clear &quot;Depreciation Months&quot; and re-enter" sqref="H7:H66" xr:uid="{B8BDC57E-2FEF-4A73-9DEC-8FB9795BBB27}">
      <formula1>IF(AND(N7&lt;&gt;0,H7="Land"),FALSE,TRUE)</formula1>
    </dataValidation>
    <dataValidation type="custom" showInputMessage="1" showErrorMessage="1" error="Enter a salvage month to continue" sqref="M13:N66" xr:uid="{8F7AD7A2-C8D4-49A0-A48C-64D3A3902D07}">
      <formula1>L13&gt;0</formula1>
    </dataValidation>
    <dataValidation type="custom" showErrorMessage="1" error="Land does not depreciate_x000a_Leave cell empty" sqref="N13:N66" xr:uid="{04F77EAC-C267-4A26-B4DB-FF78E4E84D4E}">
      <formula1>IF(AND(N13&lt;&gt;0,OR(H13="Land",I13="Land")),FALSE,TRUE)</formula1>
    </dataValidation>
    <dataValidation type="custom" allowBlank="1" showInputMessage="1" showErrorMessage="1" error="Sale must occur after purchase month" sqref="L13:L66" xr:uid="{5CF6625B-DDB8-4EE9-A640-D7FC985FC51B}">
      <formula1>IF(L13&lt;=J13,FALSE,TRUE)</formula1>
    </dataValidation>
    <dataValidation type="list" errorStyle="warning" showErrorMessage="1" error="Please select from dropdown menu" sqref="I7:I66" xr:uid="{2E8CD399-C784-4911-819F-762AF4DD0DC8}">
      <formula1>"Facility,Equip,Fixture,Intang,Land,Other"</formula1>
    </dataValidation>
    <dataValidation type="decimal" allowBlank="1" showInputMessage="1" showErrorMessage="1" error="Enter a number between 0 and 100%" sqref="G8:G66 AL29:AL30" xr:uid="{01A33E09-BD0A-4937-B42F-876FFE9F8E2A}">
      <formula1>0</formula1>
      <formula2>1</formula2>
    </dataValidation>
  </dataValidations>
  <pageMargins left="0.7" right="0.7" top="0.75" bottom="0.75" header="0.3" footer="0.3"/>
  <pageSetup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B66C7-C320-4BD1-B671-DE760FDC4028}">
  <sheetPr codeName="Sheet3">
    <tabColor theme="5" tint="0.79998168889431442"/>
    <outlinePr showOutlineSymbols="0"/>
  </sheetPr>
  <dimension ref="A1:BR45"/>
  <sheetViews>
    <sheetView showGridLines="0" showRowColHeaders="0" showZeros="0" showOutlineSymbols="0" workbookViewId="0">
      <pane xSplit="3" ySplit="4" topLeftCell="D5" activePane="bottomRight" state="frozen"/>
      <selection sqref="A1:XFD1048576"/>
      <selection pane="topRight" sqref="A1:XFD1048576"/>
      <selection pane="bottomLeft" sqref="A1:XFD1048576"/>
      <selection pane="bottomRight" activeCell="F17" sqref="F17"/>
    </sheetView>
  </sheetViews>
  <sheetFormatPr defaultColWidth="9.109375" defaultRowHeight="12.6" x14ac:dyDescent="0.25"/>
  <cols>
    <col min="1" max="1" width="3" style="270" customWidth="1"/>
    <col min="2" max="2" width="1.6640625" style="270" customWidth="1"/>
    <col min="3" max="3" width="22" style="14" customWidth="1"/>
    <col min="4" max="4" width="1.109375" style="16" customWidth="1"/>
    <col min="5" max="9" width="8.33203125" style="15" customWidth="1"/>
    <col min="10" max="10" width="2.21875" style="34" customWidth="1"/>
    <col min="11" max="21" width="8.33203125" style="16" customWidth="1"/>
    <col min="22" max="22" width="8.33203125" style="15" customWidth="1"/>
    <col min="23" max="33" width="8.33203125" style="16" customWidth="1"/>
    <col min="34" max="34" width="8.33203125" style="15" customWidth="1"/>
    <col min="35" max="45" width="8.33203125" style="16" customWidth="1"/>
    <col min="46" max="46" width="8.33203125" style="15" customWidth="1"/>
    <col min="47" max="57" width="8.33203125" style="16" customWidth="1"/>
    <col min="58" max="58" width="8.33203125" style="15" customWidth="1"/>
    <col min="59" max="69" width="8.33203125" style="16" customWidth="1"/>
    <col min="70" max="70" width="8.33203125" style="15" customWidth="1"/>
    <col min="71" max="16384" width="9.109375" style="14"/>
  </cols>
  <sheetData>
    <row r="1" spans="1:70" s="2" customFormat="1" ht="10.199999999999999" x14ac:dyDescent="0.2">
      <c r="A1" s="1" t="s">
        <v>0</v>
      </c>
      <c r="N1" s="3"/>
      <c r="R1" s="4"/>
      <c r="T1" s="4"/>
    </row>
    <row r="2" spans="1:70" s="5" customFormat="1" ht="10.199999999999999" x14ac:dyDescent="0.2">
      <c r="D2" s="37"/>
      <c r="E2" s="37"/>
      <c r="F2" s="37"/>
      <c r="G2" s="37"/>
      <c r="H2" s="37"/>
      <c r="I2" s="37"/>
    </row>
    <row r="3" spans="1:70" s="5" customFormat="1" ht="21" customHeight="1" x14ac:dyDescent="0.2">
      <c r="C3" s="579" t="s">
        <v>33</v>
      </c>
      <c r="D3" s="37"/>
      <c r="H3" s="37"/>
      <c r="I3" s="37"/>
    </row>
    <row r="4" spans="1:70" s="13" customFormat="1" ht="13.8" x14ac:dyDescent="0.3">
      <c r="A4" s="214"/>
      <c r="C4" s="579"/>
      <c r="D4" s="40"/>
      <c r="E4" s="172">
        <v>1</v>
      </c>
      <c r="F4" s="172">
        <v>2</v>
      </c>
      <c r="G4" s="172">
        <v>3</v>
      </c>
      <c r="H4" s="172">
        <v>4</v>
      </c>
      <c r="I4" s="172">
        <v>5</v>
      </c>
      <c r="J4" s="239"/>
      <c r="K4" s="10">
        <v>1</v>
      </c>
      <c r="L4" s="10">
        <v>2</v>
      </c>
      <c r="M4" s="10">
        <v>3</v>
      </c>
      <c r="N4" s="10">
        <v>4</v>
      </c>
      <c r="O4" s="10">
        <v>5</v>
      </c>
      <c r="P4" s="10">
        <v>6</v>
      </c>
      <c r="Q4" s="10">
        <v>7</v>
      </c>
      <c r="R4" s="10">
        <v>8</v>
      </c>
      <c r="S4" s="10">
        <v>9</v>
      </c>
      <c r="T4" s="10">
        <v>10</v>
      </c>
      <c r="U4" s="10">
        <v>11</v>
      </c>
      <c r="V4" s="173">
        <v>12</v>
      </c>
      <c r="W4" s="10">
        <v>13</v>
      </c>
      <c r="X4" s="10">
        <v>14</v>
      </c>
      <c r="Y4" s="10">
        <v>15</v>
      </c>
      <c r="Z4" s="10">
        <v>16</v>
      </c>
      <c r="AA4" s="10">
        <v>17</v>
      </c>
      <c r="AB4" s="10">
        <v>18</v>
      </c>
      <c r="AC4" s="10">
        <v>19</v>
      </c>
      <c r="AD4" s="10">
        <v>20</v>
      </c>
      <c r="AE4" s="10">
        <v>21</v>
      </c>
      <c r="AF4" s="10">
        <v>22</v>
      </c>
      <c r="AG4" s="10">
        <v>23</v>
      </c>
      <c r="AH4" s="173">
        <v>24</v>
      </c>
      <c r="AI4" s="10">
        <v>25</v>
      </c>
      <c r="AJ4" s="10">
        <v>26</v>
      </c>
      <c r="AK4" s="10">
        <v>27</v>
      </c>
      <c r="AL4" s="10">
        <v>28</v>
      </c>
      <c r="AM4" s="10">
        <v>29</v>
      </c>
      <c r="AN4" s="10">
        <v>30</v>
      </c>
      <c r="AO4" s="10">
        <v>31</v>
      </c>
      <c r="AP4" s="10">
        <v>32</v>
      </c>
      <c r="AQ4" s="10">
        <v>33</v>
      </c>
      <c r="AR4" s="10">
        <v>34</v>
      </c>
      <c r="AS4" s="10">
        <v>35</v>
      </c>
      <c r="AT4" s="173">
        <v>36</v>
      </c>
      <c r="AU4" s="10">
        <v>37</v>
      </c>
      <c r="AV4" s="10">
        <v>38</v>
      </c>
      <c r="AW4" s="10">
        <v>39</v>
      </c>
      <c r="AX4" s="10">
        <v>40</v>
      </c>
      <c r="AY4" s="10">
        <v>41</v>
      </c>
      <c r="AZ4" s="10">
        <v>42</v>
      </c>
      <c r="BA4" s="10">
        <v>43</v>
      </c>
      <c r="BB4" s="10">
        <v>44</v>
      </c>
      <c r="BC4" s="10">
        <v>45</v>
      </c>
      <c r="BD4" s="10">
        <v>46</v>
      </c>
      <c r="BE4" s="10">
        <v>47</v>
      </c>
      <c r="BF4" s="173">
        <v>48</v>
      </c>
      <c r="BG4" s="10">
        <v>49</v>
      </c>
      <c r="BH4" s="10">
        <v>50</v>
      </c>
      <c r="BI4" s="10">
        <v>51</v>
      </c>
      <c r="BJ4" s="10">
        <v>52</v>
      </c>
      <c r="BK4" s="10">
        <v>53</v>
      </c>
      <c r="BL4" s="10">
        <v>54</v>
      </c>
      <c r="BM4" s="10">
        <v>55</v>
      </c>
      <c r="BN4" s="10">
        <v>56</v>
      </c>
      <c r="BO4" s="10">
        <v>57</v>
      </c>
      <c r="BP4" s="10">
        <v>58</v>
      </c>
      <c r="BQ4" s="10">
        <v>59</v>
      </c>
      <c r="BR4" s="173">
        <v>60</v>
      </c>
    </row>
    <row r="5" spans="1:70" ht="6" customHeight="1" x14ac:dyDescent="0.25">
      <c r="A5" s="13"/>
      <c r="B5" s="201"/>
      <c r="D5" s="14"/>
      <c r="E5" s="174"/>
      <c r="F5" s="174"/>
      <c r="G5" s="174"/>
      <c r="H5" s="174"/>
      <c r="I5" s="174"/>
      <c r="J5" s="210"/>
      <c r="V5" s="174"/>
      <c r="AH5" s="174"/>
      <c r="AT5" s="174"/>
      <c r="BF5" s="174"/>
      <c r="BR5" s="174"/>
    </row>
    <row r="6" spans="1:70" s="175" customFormat="1" ht="13.2" x14ac:dyDescent="0.3">
      <c r="C6" s="181" t="s">
        <v>228</v>
      </c>
      <c r="E6" s="222">
        <f>K6</f>
        <v>175</v>
      </c>
      <c r="F6" s="222">
        <f ca="1">W6</f>
        <v>300</v>
      </c>
      <c r="G6" s="222">
        <f ca="1">AI6</f>
        <v>529.47427960724121</v>
      </c>
      <c r="H6" s="222">
        <f ca="1">AU6</f>
        <v>899.7129936374198</v>
      </c>
      <c r="I6" s="222">
        <f ca="1">BG6</f>
        <v>1359.5763302016192</v>
      </c>
      <c r="J6" s="269"/>
      <c r="K6" s="223">
        <f>SUM(StartShort,StartLong,StartCommon,StartPreferred)</f>
        <v>175</v>
      </c>
      <c r="L6" s="223">
        <f ca="1">K44</f>
        <v>300</v>
      </c>
      <c r="M6" s="223">
        <f t="shared" ref="M6:BR6" ca="1" si="0">L44</f>
        <v>300</v>
      </c>
      <c r="N6" s="223">
        <f t="shared" ca="1" si="0"/>
        <v>300</v>
      </c>
      <c r="O6" s="223">
        <f t="shared" ca="1" si="0"/>
        <v>300</v>
      </c>
      <c r="P6" s="223">
        <f t="shared" ca="1" si="0"/>
        <v>300</v>
      </c>
      <c r="Q6" s="223">
        <f t="shared" ca="1" si="0"/>
        <v>300</v>
      </c>
      <c r="R6" s="223">
        <f t="shared" ca="1" si="0"/>
        <v>300</v>
      </c>
      <c r="S6" s="223">
        <f ca="1">R44</f>
        <v>300</v>
      </c>
      <c r="T6" s="223">
        <f t="shared" ca="1" si="0"/>
        <v>300</v>
      </c>
      <c r="U6" s="223">
        <f t="shared" ca="1" si="0"/>
        <v>300</v>
      </c>
      <c r="V6" s="222">
        <f t="shared" ca="1" si="0"/>
        <v>300</v>
      </c>
      <c r="W6" s="223">
        <f t="shared" ca="1" si="0"/>
        <v>300</v>
      </c>
      <c r="X6" s="223">
        <f t="shared" ca="1" si="0"/>
        <v>300</v>
      </c>
      <c r="Y6" s="223">
        <f t="shared" ca="1" si="0"/>
        <v>300</v>
      </c>
      <c r="Z6" s="223">
        <f t="shared" ca="1" si="0"/>
        <v>303.91846666011122</v>
      </c>
      <c r="AA6" s="223">
        <f t="shared" ca="1" si="0"/>
        <v>326.53328673821841</v>
      </c>
      <c r="AB6" s="223">
        <f t="shared" ca="1" si="0"/>
        <v>349.74816392618061</v>
      </c>
      <c r="AC6" s="223">
        <f t="shared" ca="1" si="0"/>
        <v>373.56804298258203</v>
      </c>
      <c r="AD6" s="223">
        <f t="shared" ca="1" si="0"/>
        <v>397.99790816978151</v>
      </c>
      <c r="AE6" s="223">
        <f t="shared" ca="1" si="0"/>
        <v>423.0427835625851</v>
      </c>
      <c r="AF6" s="223">
        <f t="shared" ca="1" si="0"/>
        <v>448.70773335929204</v>
      </c>
      <c r="AG6" s="223">
        <f t="shared" ca="1" si="0"/>
        <v>474.99786219513004</v>
      </c>
      <c r="AH6" s="222">
        <f t="shared" ca="1" si="0"/>
        <v>501.91831545809902</v>
      </c>
      <c r="AI6" s="223">
        <f t="shared" ca="1" si="0"/>
        <v>529.47427960724121</v>
      </c>
      <c r="AJ6" s="223">
        <f t="shared" ca="1" si="0"/>
        <v>556.67531092894365</v>
      </c>
      <c r="AK6" s="223">
        <f t="shared" ca="1" si="0"/>
        <v>584.52235055335666</v>
      </c>
      <c r="AL6" s="223">
        <f t="shared" ca="1" si="0"/>
        <v>613.02071008681446</v>
      </c>
      <c r="AM6" s="223">
        <f t="shared" ca="1" si="0"/>
        <v>642.17574350441066</v>
      </c>
      <c r="AN6" s="223">
        <f t="shared" ca="1" si="0"/>
        <v>671.99284748068033</v>
      </c>
      <c r="AO6" s="223">
        <f t="shared" ca="1" si="0"/>
        <v>702.47746172282029</v>
      </c>
      <c r="AP6" s="223">
        <f t="shared" ca="1" si="0"/>
        <v>733.63506930646884</v>
      </c>
      <c r="AQ6" s="223">
        <f t="shared" ca="1" si="0"/>
        <v>765.47119701406234</v>
      </c>
      <c r="AR6" s="223">
        <f t="shared" ca="1" si="0"/>
        <v>797.99141567578999</v>
      </c>
      <c r="AS6" s="223">
        <f t="shared" ca="1" si="0"/>
        <v>831.20134051316381</v>
      </c>
      <c r="AT6" s="222">
        <f t="shared" ca="1" si="0"/>
        <v>865.10663148522724</v>
      </c>
      <c r="AU6" s="223">
        <f t="shared" ca="1" si="0"/>
        <v>899.7129936374198</v>
      </c>
      <c r="AV6" s="223">
        <f t="shared" ca="1" si="0"/>
        <v>934.00648594061784</v>
      </c>
      <c r="AW6" s="223">
        <f t="shared" ca="1" si="0"/>
        <v>969.01259618287384</v>
      </c>
      <c r="AX6" s="223">
        <f t="shared" ca="1" si="0"/>
        <v>1004.7371667888725</v>
      </c>
      <c r="AY6" s="223">
        <f t="shared" ca="1" si="0"/>
        <v>1041.1860866921247</v>
      </c>
      <c r="AZ6" s="223">
        <f t="shared" ca="1" si="0"/>
        <v>1078.3652916974211</v>
      </c>
      <c r="BA6" s="223">
        <f t="shared" ca="1" si="0"/>
        <v>1116.2807648460648</v>
      </c>
      <c r="BB6" s="223">
        <f t="shared" ca="1" si="0"/>
        <v>1154.9385367839068</v>
      </c>
      <c r="BC6" s="223">
        <f t="shared" ca="1" si="0"/>
        <v>1194.3446861321995</v>
      </c>
      <c r="BD6" s="223">
        <f t="shared" ca="1" si="0"/>
        <v>1234.505339861299</v>
      </c>
      <c r="BE6" s="223">
        <f t="shared" ca="1" si="0"/>
        <v>1275.4266736672284</v>
      </c>
      <c r="BF6" s="222">
        <f t="shared" ca="1" si="0"/>
        <v>1317.1149123511286</v>
      </c>
      <c r="BG6" s="223">
        <f t="shared" ca="1" si="0"/>
        <v>1359.5763302016192</v>
      </c>
      <c r="BH6" s="223">
        <f t="shared" ca="1" si="0"/>
        <v>1401.7729161804043</v>
      </c>
      <c r="BI6" s="223">
        <f t="shared" ca="1" si="0"/>
        <v>1444.7553799095672</v>
      </c>
      <c r="BJ6" s="223">
        <f t="shared" ca="1" si="0"/>
        <v>1488.5301464637369</v>
      </c>
      <c r="BK6" s="223">
        <f t="shared" ca="1" si="0"/>
        <v>1533.1036919639882</v>
      </c>
      <c r="BL6" s="223">
        <f t="shared" ca="1" si="0"/>
        <v>1578.4825439750789</v>
      </c>
      <c r="BM6" s="223">
        <f t="shared" ca="1" si="0"/>
        <v>1624.6732819057268</v>
      </c>
      <c r="BN6" s="223">
        <f t="shared" ca="1" si="0"/>
        <v>1680.6825374119576</v>
      </c>
      <c r="BO6" s="223">
        <f t="shared" ca="1" si="0"/>
        <v>1728.5169948035386</v>
      </c>
      <c r="BP6" s="223">
        <f t="shared" ca="1" si="0"/>
        <v>1777.1833914535264</v>
      </c>
      <c r="BQ6" s="223">
        <f t="shared" ca="1" si="0"/>
        <v>1873.6885182109522</v>
      </c>
      <c r="BR6" s="222">
        <f t="shared" ca="1" si="0"/>
        <v>1924.0392198166646</v>
      </c>
    </row>
    <row r="7" spans="1:70" ht="13.2" x14ac:dyDescent="0.3">
      <c r="B7" s="34"/>
      <c r="C7" s="185" t="s">
        <v>209</v>
      </c>
      <c r="D7" s="14"/>
      <c r="E7" s="211">
        <f>SUM(K7:V7)</f>
        <v>10</v>
      </c>
      <c r="F7" s="211">
        <f>SUM(W7:AH7)</f>
        <v>0</v>
      </c>
      <c r="G7" s="211">
        <f>SUM(AI7:AT7)</f>
        <v>0</v>
      </c>
      <c r="H7" s="211">
        <f>SUM(AU7:BF7)</f>
        <v>0</v>
      </c>
      <c r="I7" s="211">
        <f>SUM(BG7:BR7)</f>
        <v>0</v>
      </c>
      <c r="J7" s="248"/>
      <c r="K7" s="212">
        <f>IFERROR(VLOOKUP(K$4,Drivers!$B$8:$F$66,2,FALSE),0)</f>
        <v>0</v>
      </c>
      <c r="L7" s="213">
        <f>IFERROR(VLOOKUP(L$4,Drivers!$B$8:$F$66,2,FALSE),0)</f>
        <v>0</v>
      </c>
      <c r="M7" s="213">
        <f>IFERROR(VLOOKUP(M$4,Drivers!$B$8:$F$66,2,FALSE),0)</f>
        <v>0</v>
      </c>
      <c r="N7" s="213">
        <f>IFERROR(VLOOKUP(N$4,Drivers!$B$8:$F$66,2,FALSE),0)</f>
        <v>0</v>
      </c>
      <c r="O7" s="213">
        <f>IFERROR(VLOOKUP(O$4,Drivers!$B$8:$F$66,2,FALSE),0)</f>
        <v>0</v>
      </c>
      <c r="P7" s="213">
        <f>IFERROR(VLOOKUP(P$4,Drivers!$B$8:$F$66,2,FALSE),0)</f>
        <v>10</v>
      </c>
      <c r="Q7" s="212">
        <f>IFERROR(VLOOKUP(Q$4,Drivers!$B$8:$F$66,2,FALSE),0)</f>
        <v>0</v>
      </c>
      <c r="R7" s="212">
        <f>IFERROR(VLOOKUP(R$4,Drivers!$B$8:$F$66,2,FALSE),0)</f>
        <v>0</v>
      </c>
      <c r="S7" s="212">
        <f>IFERROR(VLOOKUP(S$4,Drivers!$B$8:$F$66,2,FALSE),0)</f>
        <v>0</v>
      </c>
      <c r="T7" s="212">
        <f>IFERROR(VLOOKUP(T$4,Drivers!$B$8:$F$66,2,FALSE),0)</f>
        <v>0</v>
      </c>
      <c r="U7" s="212">
        <f>IFERROR(VLOOKUP(U$4,Drivers!$B$8:$F$66,2,FALSE),0)</f>
        <v>0</v>
      </c>
      <c r="V7" s="211">
        <f>IFERROR(VLOOKUP(V$4,Drivers!$B$8:$F$66,2,FALSE),0)</f>
        <v>0</v>
      </c>
      <c r="W7" s="212">
        <f>IFERROR(VLOOKUP(W$4,Drivers!$B$8:$F$66,2,FALSE),0)</f>
        <v>0</v>
      </c>
      <c r="X7" s="213">
        <f>IFERROR(VLOOKUP(X$4,Drivers!$B$8:$F$66,2,FALSE),0)</f>
        <v>0</v>
      </c>
      <c r="Y7" s="213">
        <f>IFERROR(VLOOKUP(Y$4,Drivers!$B$8:$F$66,2,FALSE),0)</f>
        <v>0</v>
      </c>
      <c r="Z7" s="213">
        <f>IFERROR(VLOOKUP(Z$4,Drivers!$B$8:$F$66,2,FALSE),0)</f>
        <v>0</v>
      </c>
      <c r="AA7" s="213">
        <f>IFERROR(VLOOKUP(AA$4,Drivers!$B$8:$F$66,2,FALSE),0)</f>
        <v>0</v>
      </c>
      <c r="AB7" s="213">
        <f>IFERROR(VLOOKUP(AB$4,Drivers!$B$8:$F$66,2,FALSE),0)</f>
        <v>0</v>
      </c>
      <c r="AC7" s="212">
        <f>IFERROR(VLOOKUP(AC$4,Drivers!$B$8:$F$66,2,FALSE),0)</f>
        <v>0</v>
      </c>
      <c r="AD7" s="212">
        <f>IFERROR(VLOOKUP(AD$4,Drivers!$B$8:$F$66,2,FALSE),0)</f>
        <v>0</v>
      </c>
      <c r="AE7" s="212">
        <f>IFERROR(VLOOKUP(AE$4,Drivers!$B$8:$F$66,2,FALSE),0)</f>
        <v>0</v>
      </c>
      <c r="AF7" s="212">
        <f>IFERROR(VLOOKUP(AF$4,Drivers!$B$8:$F$66,2,FALSE),0)</f>
        <v>0</v>
      </c>
      <c r="AG7" s="212">
        <f>IFERROR(VLOOKUP(AG$4,Drivers!$B$8:$F$66,2,FALSE),0)</f>
        <v>0</v>
      </c>
      <c r="AH7" s="211">
        <f>IFERROR(VLOOKUP(AH$4,Drivers!$B$8:$F$66,2,FALSE),0)</f>
        <v>0</v>
      </c>
      <c r="AI7" s="212">
        <f>IFERROR(VLOOKUP(AI$4,Drivers!$B$8:$F$66,2,FALSE),0)</f>
        <v>0</v>
      </c>
      <c r="AJ7" s="213">
        <f>IFERROR(VLOOKUP(AJ$4,Drivers!$B$8:$F$66,2,FALSE),0)</f>
        <v>0</v>
      </c>
      <c r="AK7" s="213">
        <f>IFERROR(VLOOKUP(AK$4,Drivers!$B$8:$F$66,2,FALSE),0)</f>
        <v>0</v>
      </c>
      <c r="AL7" s="213">
        <f>IFERROR(VLOOKUP(AL$4,Drivers!$B$8:$F$66,2,FALSE),0)</f>
        <v>0</v>
      </c>
      <c r="AM7" s="213">
        <f>IFERROR(VLOOKUP(AM$4,Drivers!$B$8:$F$66,2,FALSE),0)</f>
        <v>0</v>
      </c>
      <c r="AN7" s="213">
        <f>IFERROR(VLOOKUP(AN$4,Drivers!$B$8:$F$66,2,FALSE),0)</f>
        <v>0</v>
      </c>
      <c r="AO7" s="212">
        <f>IFERROR(VLOOKUP(AO$4,Drivers!$B$8:$F$66,2,FALSE),0)</f>
        <v>0</v>
      </c>
      <c r="AP7" s="212">
        <f>IFERROR(VLOOKUP(AP$4,Drivers!$B$8:$F$66,2,FALSE),0)</f>
        <v>0</v>
      </c>
      <c r="AQ7" s="212">
        <f>IFERROR(VLOOKUP(AQ$4,Drivers!$B$8:$F$66,2,FALSE),0)</f>
        <v>0</v>
      </c>
      <c r="AR7" s="212">
        <f>IFERROR(VLOOKUP(AR$4,Drivers!$B$8:$F$66,2,FALSE),0)</f>
        <v>0</v>
      </c>
      <c r="AS7" s="212">
        <f>IFERROR(VLOOKUP(AS$4,Drivers!$B$8:$F$66,2,FALSE),0)</f>
        <v>0</v>
      </c>
      <c r="AT7" s="211">
        <f>IFERROR(VLOOKUP(AT$4,Drivers!$B$8:$F$66,2,FALSE),0)</f>
        <v>0</v>
      </c>
      <c r="AU7" s="212">
        <f>IFERROR(VLOOKUP(AU$4,Drivers!$B$8:$F$66,2,FALSE),0)</f>
        <v>0</v>
      </c>
      <c r="AV7" s="213">
        <f>IFERROR(VLOOKUP(AV$4,Drivers!$B$8:$F$66,2,FALSE),0)</f>
        <v>0</v>
      </c>
      <c r="AW7" s="213">
        <f>IFERROR(VLOOKUP(AW$4,Drivers!$B$8:$F$66,2,FALSE),0)</f>
        <v>0</v>
      </c>
      <c r="AX7" s="213">
        <f>IFERROR(VLOOKUP(AX$4,Drivers!$B$8:$F$66,2,FALSE),0)</f>
        <v>0</v>
      </c>
      <c r="AY7" s="213">
        <f>IFERROR(VLOOKUP(AY$4,Drivers!$B$8:$F$66,2,FALSE),0)</f>
        <v>0</v>
      </c>
      <c r="AZ7" s="213">
        <f>IFERROR(VLOOKUP(AZ$4,Drivers!$B$8:$F$66,2,FALSE),0)</f>
        <v>0</v>
      </c>
      <c r="BA7" s="212">
        <f>IFERROR(VLOOKUP(BA$4,Drivers!$B$8:$F$66,2,FALSE),0)</f>
        <v>0</v>
      </c>
      <c r="BB7" s="212">
        <f>IFERROR(VLOOKUP(BB$4,Drivers!$B$8:$F$66,2,FALSE),0)</f>
        <v>0</v>
      </c>
      <c r="BC7" s="212">
        <f>IFERROR(VLOOKUP(BC$4,Drivers!$B$8:$F$66,2,FALSE),0)</f>
        <v>0</v>
      </c>
      <c r="BD7" s="212">
        <f>IFERROR(VLOOKUP(BD$4,Drivers!$B$8:$F$66,2,FALSE),0)</f>
        <v>0</v>
      </c>
      <c r="BE7" s="212">
        <f>IFERROR(VLOOKUP(BE$4,Drivers!$B$8:$F$66,2,FALSE),0)</f>
        <v>0</v>
      </c>
      <c r="BF7" s="211">
        <f>IFERROR(VLOOKUP(BF$4,Drivers!$B$8:$F$66,2,FALSE),0)</f>
        <v>0</v>
      </c>
      <c r="BG7" s="212">
        <f>IFERROR(VLOOKUP(BG$4,Drivers!$B$8:$F$66,2,FALSE),0)</f>
        <v>0</v>
      </c>
      <c r="BH7" s="213">
        <f>IFERROR(VLOOKUP(BH$4,Drivers!$B$8:$F$66,2,FALSE),0)</f>
        <v>0</v>
      </c>
      <c r="BI7" s="213">
        <f>IFERROR(VLOOKUP(BI$4,Drivers!$B$8:$F$66,2,FALSE),0)</f>
        <v>0</v>
      </c>
      <c r="BJ7" s="213">
        <f>IFERROR(VLOOKUP(BJ$4,Drivers!$B$8:$F$66,2,FALSE),0)</f>
        <v>0</v>
      </c>
      <c r="BK7" s="213">
        <f>IFERROR(VLOOKUP(BK$4,Drivers!$B$8:$F$66,2,FALSE),0)</f>
        <v>0</v>
      </c>
      <c r="BL7" s="213">
        <f>IFERROR(VLOOKUP(BL$4,Drivers!$B$8:$F$66,2,FALSE),0)</f>
        <v>0</v>
      </c>
      <c r="BM7" s="212">
        <f>IFERROR(VLOOKUP(BM$4,Drivers!$B$8:$F$66,2,FALSE),0)</f>
        <v>0</v>
      </c>
      <c r="BN7" s="212">
        <f>IFERROR(VLOOKUP(BN$4,Drivers!$B$8:$F$66,2,FALSE),0)</f>
        <v>0</v>
      </c>
      <c r="BO7" s="212">
        <f>IFERROR(VLOOKUP(BO$4,Drivers!$B$8:$F$66,2,FALSE),0)</f>
        <v>0</v>
      </c>
      <c r="BP7" s="212">
        <f>IFERROR(VLOOKUP(BP$4,Drivers!$B$8:$F$66,2,FALSE),0)</f>
        <v>0</v>
      </c>
      <c r="BQ7" s="212">
        <f>IFERROR(VLOOKUP(BQ$4,Drivers!$B$8:$F$66,2,FALSE),0)</f>
        <v>0</v>
      </c>
      <c r="BR7" s="211">
        <f>IFERROR(VLOOKUP(BR$4,Drivers!$B$8:$F$66,2,FALSE),0)</f>
        <v>0</v>
      </c>
    </row>
    <row r="8" spans="1:70" ht="13.2" x14ac:dyDescent="0.3">
      <c r="B8" s="34"/>
      <c r="C8" s="185" t="s">
        <v>210</v>
      </c>
      <c r="D8" s="14"/>
      <c r="E8" s="211">
        <f t="shared" ref="E8:E17" si="1">SUM(K8:V8)</f>
        <v>15</v>
      </c>
      <c r="F8" s="211">
        <f t="shared" ref="F8:F17" si="2">SUM(W8:AH8)</f>
        <v>60</v>
      </c>
      <c r="G8" s="211">
        <f t="shared" ref="G8:G17" si="3">SUM(AI8:AT8)</f>
        <v>0</v>
      </c>
      <c r="H8" s="211">
        <f t="shared" ref="H8:H17" si="4">SUM(AU8:BF8)</f>
        <v>0</v>
      </c>
      <c r="I8" s="211">
        <f t="shared" ref="I8:I17" si="5">SUM(BG8:BR8)</f>
        <v>0</v>
      </c>
      <c r="J8" s="248"/>
      <c r="K8" s="212">
        <f>IFERROR(VLOOKUP(K$4,Drivers!$B$8:$F$66,3,FALSE),0)</f>
        <v>0</v>
      </c>
      <c r="L8" s="213">
        <f>IFERROR(VLOOKUP(L$4,Drivers!$B$8:$F$66,3,FALSE),0)</f>
        <v>0</v>
      </c>
      <c r="M8" s="213">
        <f>IFERROR(VLOOKUP(M$4,Drivers!$B$8:$F$66,3,FALSE),0)</f>
        <v>0</v>
      </c>
      <c r="N8" s="213">
        <f>IFERROR(VLOOKUP(N$4,Drivers!$B$8:$F$66,3,FALSE),0)</f>
        <v>0</v>
      </c>
      <c r="O8" s="213">
        <f>IFERROR(VLOOKUP(O$4,Drivers!$B$8:$F$66,3,FALSE),0)</f>
        <v>0</v>
      </c>
      <c r="P8" s="213">
        <f>IFERROR(VLOOKUP(P$4,Drivers!$B$8:$F$66,3,FALSE),0)</f>
        <v>15</v>
      </c>
      <c r="Q8" s="212">
        <f>IFERROR(VLOOKUP(Q$4,Drivers!$B$8:$F$66,3,FALSE),0)</f>
        <v>0</v>
      </c>
      <c r="R8" s="212">
        <f>IFERROR(VLOOKUP(R$4,Drivers!$B$8:$F$66,3,FALSE),0)</f>
        <v>0</v>
      </c>
      <c r="S8" s="212">
        <f>IFERROR(VLOOKUP(S$4,Drivers!$B$8:$F$66,3,FALSE),0)</f>
        <v>0</v>
      </c>
      <c r="T8" s="212">
        <f>IFERROR(VLOOKUP(T$4,Drivers!$B$8:$F$66,3,FALSE),0)</f>
        <v>0</v>
      </c>
      <c r="U8" s="212">
        <f>IFERROR(VLOOKUP(U$4,Drivers!$B$8:$F$66,3,FALSE),0)</f>
        <v>0</v>
      </c>
      <c r="V8" s="211">
        <f>IFERROR(VLOOKUP(V$4,Drivers!$B$8:$F$66,3,FALSE),0)</f>
        <v>0</v>
      </c>
      <c r="W8" s="212">
        <f>IFERROR(VLOOKUP(W$4,Drivers!$B$8:$F$66,3,FALSE),0)</f>
        <v>60</v>
      </c>
      <c r="X8" s="213">
        <f>IFERROR(VLOOKUP(X$4,Drivers!$B$8:$F$66,3,FALSE),0)</f>
        <v>0</v>
      </c>
      <c r="Y8" s="213">
        <f>IFERROR(VLOOKUP(Y$4,Drivers!$B$8:$F$66,3,FALSE),0)</f>
        <v>0</v>
      </c>
      <c r="Z8" s="213">
        <f>IFERROR(VLOOKUP(Z$4,Drivers!$B$8:$F$66,3,FALSE),0)</f>
        <v>0</v>
      </c>
      <c r="AA8" s="213">
        <f>IFERROR(VLOOKUP(AA$4,Drivers!$B$8:$F$66,3,FALSE),0)</f>
        <v>0</v>
      </c>
      <c r="AB8" s="213">
        <f>IFERROR(VLOOKUP(AB$4,Drivers!$B$8:$F$66,3,FALSE),0)</f>
        <v>0</v>
      </c>
      <c r="AC8" s="212">
        <f>IFERROR(VLOOKUP(AC$4,Drivers!$B$8:$F$66,3,FALSE),0)</f>
        <v>0</v>
      </c>
      <c r="AD8" s="212">
        <f>IFERROR(VLOOKUP(AD$4,Drivers!$B$8:$F$66,3,FALSE),0)</f>
        <v>0</v>
      </c>
      <c r="AE8" s="212">
        <f>IFERROR(VLOOKUP(AE$4,Drivers!$B$8:$F$66,3,FALSE),0)</f>
        <v>0</v>
      </c>
      <c r="AF8" s="212">
        <f>IFERROR(VLOOKUP(AF$4,Drivers!$B$8:$F$66,3,FALSE),0)</f>
        <v>0</v>
      </c>
      <c r="AG8" s="212">
        <f>IFERROR(VLOOKUP(AG$4,Drivers!$B$8:$F$66,3,FALSE),0)</f>
        <v>0</v>
      </c>
      <c r="AH8" s="211">
        <f>IFERROR(VLOOKUP(AH$4,Drivers!$B$8:$F$66,3,FALSE),0)</f>
        <v>0</v>
      </c>
      <c r="AI8" s="212">
        <f>IFERROR(VLOOKUP(AI$4,Drivers!$B$8:$F$66,3,FALSE),0)</f>
        <v>0</v>
      </c>
      <c r="AJ8" s="213">
        <f>IFERROR(VLOOKUP(AJ$4,Drivers!$B$8:$F$66,3,FALSE),0)</f>
        <v>0</v>
      </c>
      <c r="AK8" s="213">
        <f>IFERROR(VLOOKUP(AK$4,Drivers!$B$8:$F$66,3,FALSE),0)</f>
        <v>0</v>
      </c>
      <c r="AL8" s="213">
        <f>IFERROR(VLOOKUP(AL$4,Drivers!$B$8:$F$66,3,FALSE),0)</f>
        <v>0</v>
      </c>
      <c r="AM8" s="213">
        <f>IFERROR(VLOOKUP(AM$4,Drivers!$B$8:$F$66,3,FALSE),0)</f>
        <v>0</v>
      </c>
      <c r="AN8" s="213">
        <f>IFERROR(VLOOKUP(AN$4,Drivers!$B$8:$F$66,3,FALSE),0)</f>
        <v>0</v>
      </c>
      <c r="AO8" s="212">
        <f>IFERROR(VLOOKUP(AO$4,Drivers!$B$8:$F$66,3,FALSE),0)</f>
        <v>0</v>
      </c>
      <c r="AP8" s="212">
        <f>IFERROR(VLOOKUP(AP$4,Drivers!$B$8:$F$66,3,FALSE),0)</f>
        <v>0</v>
      </c>
      <c r="AQ8" s="212">
        <f>IFERROR(VLOOKUP(AQ$4,Drivers!$B$8:$F$66,3,FALSE),0)</f>
        <v>0</v>
      </c>
      <c r="AR8" s="212">
        <f>IFERROR(VLOOKUP(AR$4,Drivers!$B$8:$F$66,3,FALSE),0)</f>
        <v>0</v>
      </c>
      <c r="AS8" s="212">
        <f>IFERROR(VLOOKUP(AS$4,Drivers!$B$8:$F$66,3,FALSE),0)</f>
        <v>0</v>
      </c>
      <c r="AT8" s="211">
        <f>IFERROR(VLOOKUP(AT$4,Drivers!$B$8:$F$66,3,FALSE),0)</f>
        <v>0</v>
      </c>
      <c r="AU8" s="212">
        <f>IFERROR(VLOOKUP(AU$4,Drivers!$B$8:$F$66,3,FALSE),0)</f>
        <v>0</v>
      </c>
      <c r="AV8" s="213">
        <f>IFERROR(VLOOKUP(AV$4,Drivers!$B$8:$F$66,3,FALSE),0)</f>
        <v>0</v>
      </c>
      <c r="AW8" s="213">
        <f>IFERROR(VLOOKUP(AW$4,Drivers!$B$8:$F$66,3,FALSE),0)</f>
        <v>0</v>
      </c>
      <c r="AX8" s="213">
        <f>IFERROR(VLOOKUP(AX$4,Drivers!$B$8:$F$66,3,FALSE),0)</f>
        <v>0</v>
      </c>
      <c r="AY8" s="213">
        <f>IFERROR(VLOOKUP(AY$4,Drivers!$B$8:$F$66,3,FALSE),0)</f>
        <v>0</v>
      </c>
      <c r="AZ8" s="213">
        <f>IFERROR(VLOOKUP(AZ$4,Drivers!$B$8:$F$66,3,FALSE),0)</f>
        <v>0</v>
      </c>
      <c r="BA8" s="212">
        <f>IFERROR(VLOOKUP(BA$4,Drivers!$B$8:$F$66,3,FALSE),0)</f>
        <v>0</v>
      </c>
      <c r="BB8" s="212">
        <f>IFERROR(VLOOKUP(BB$4,Drivers!$B$8:$F$66,3,FALSE),0)</f>
        <v>0</v>
      </c>
      <c r="BC8" s="212">
        <f>IFERROR(VLOOKUP(BC$4,Drivers!$B$8:$F$66,3,FALSE),0)</f>
        <v>0</v>
      </c>
      <c r="BD8" s="212">
        <f>IFERROR(VLOOKUP(BD$4,Drivers!$B$8:$F$66,3,FALSE),0)</f>
        <v>0</v>
      </c>
      <c r="BE8" s="212">
        <f>IFERROR(VLOOKUP(BE$4,Drivers!$B$8:$F$66,3,FALSE),0)</f>
        <v>0</v>
      </c>
      <c r="BF8" s="211">
        <f>IFERROR(VLOOKUP(BF$4,Drivers!$B$8:$F$66,3,FALSE),0)</f>
        <v>0</v>
      </c>
      <c r="BG8" s="212">
        <f>IFERROR(VLOOKUP(BG$4,Drivers!$B$8:$F$66,3,FALSE),0)</f>
        <v>0</v>
      </c>
      <c r="BH8" s="213">
        <f>IFERROR(VLOOKUP(BH$4,Drivers!$B$8:$F$66,3,FALSE),0)</f>
        <v>0</v>
      </c>
      <c r="BI8" s="213">
        <f>IFERROR(VLOOKUP(BI$4,Drivers!$B$8:$F$66,3,FALSE),0)</f>
        <v>0</v>
      </c>
      <c r="BJ8" s="213">
        <f>IFERROR(VLOOKUP(BJ$4,Drivers!$B$8:$F$66,3,FALSE),0)</f>
        <v>0</v>
      </c>
      <c r="BK8" s="213">
        <f>IFERROR(VLOOKUP(BK$4,Drivers!$B$8:$F$66,3,FALSE),0)</f>
        <v>0</v>
      </c>
      <c r="BL8" s="213">
        <f>IFERROR(VLOOKUP(BL$4,Drivers!$B$8:$F$66,3,FALSE),0)</f>
        <v>0</v>
      </c>
      <c r="BM8" s="212">
        <f>IFERROR(VLOOKUP(BM$4,Drivers!$B$8:$F$66,3,FALSE),0)</f>
        <v>0</v>
      </c>
      <c r="BN8" s="212">
        <f>IFERROR(VLOOKUP(BN$4,Drivers!$B$8:$F$66,3,FALSE),0)</f>
        <v>0</v>
      </c>
      <c r="BO8" s="212">
        <f>IFERROR(VLOOKUP(BO$4,Drivers!$B$8:$F$66,3,FALSE),0)</f>
        <v>0</v>
      </c>
      <c r="BP8" s="212">
        <f>IFERROR(VLOOKUP(BP$4,Drivers!$B$8:$F$66,3,FALSE),0)</f>
        <v>0</v>
      </c>
      <c r="BQ8" s="212">
        <f>IFERROR(VLOOKUP(BQ$4,Drivers!$B$8:$F$66,3,FALSE),0)</f>
        <v>0</v>
      </c>
      <c r="BR8" s="211">
        <f>IFERROR(VLOOKUP(BR$4,Drivers!$B$8:$F$66,3,FALSE),0)</f>
        <v>0</v>
      </c>
    </row>
    <row r="9" spans="1:70" ht="13.2" x14ac:dyDescent="0.3">
      <c r="B9" s="34"/>
      <c r="C9" s="185" t="s">
        <v>206</v>
      </c>
      <c r="D9" s="14"/>
      <c r="E9" s="211">
        <f t="shared" si="1"/>
        <v>0</v>
      </c>
      <c r="F9" s="211">
        <f t="shared" si="2"/>
        <v>20</v>
      </c>
      <c r="G9" s="211">
        <f t="shared" si="3"/>
        <v>0</v>
      </c>
      <c r="H9" s="211">
        <f t="shared" si="4"/>
        <v>0</v>
      </c>
      <c r="I9" s="211">
        <f t="shared" si="5"/>
        <v>0</v>
      </c>
      <c r="J9" s="248"/>
      <c r="K9" s="212">
        <f>IFERROR(VLOOKUP(K$4,Drivers!$B$8:$F$66,4,FALSE),0)</f>
        <v>0</v>
      </c>
      <c r="L9" s="213">
        <f>IFERROR(VLOOKUP(L$4,Drivers!$B$8:$F$66,4,FALSE),0)</f>
        <v>0</v>
      </c>
      <c r="M9" s="213">
        <f>IFERROR(VLOOKUP(M$4,Drivers!$B$8:$F$66,4,FALSE),0)</f>
        <v>0</v>
      </c>
      <c r="N9" s="213">
        <f>IFERROR(VLOOKUP(N$4,Drivers!$B$8:$F$66,4,FALSE),0)</f>
        <v>0</v>
      </c>
      <c r="O9" s="213">
        <f>IFERROR(VLOOKUP(O$4,Drivers!$B$8:$F$66,4,FALSE),0)</f>
        <v>0</v>
      </c>
      <c r="P9" s="213">
        <f>IFERROR(VLOOKUP(P$4,Drivers!$B$8:$F$66,4,FALSE),0)</f>
        <v>0</v>
      </c>
      <c r="Q9" s="212">
        <f>IFERROR(VLOOKUP(Q$4,Drivers!$B$8:$F$66,4,FALSE),0)</f>
        <v>0</v>
      </c>
      <c r="R9" s="212">
        <f>IFERROR(VLOOKUP(R$4,Drivers!$B$8:$F$66,4,FALSE),0)</f>
        <v>0</v>
      </c>
      <c r="S9" s="212">
        <f>IFERROR(VLOOKUP(S$4,Drivers!$B$8:$F$66,4,FALSE),0)</f>
        <v>0</v>
      </c>
      <c r="T9" s="212">
        <f>IFERROR(VLOOKUP(T$4,Drivers!$B$8:$F$66,4,FALSE),0)</f>
        <v>0</v>
      </c>
      <c r="U9" s="212">
        <f>IFERROR(VLOOKUP(U$4,Drivers!$B$8:$F$66,4,FALSE),0)</f>
        <v>0</v>
      </c>
      <c r="V9" s="211">
        <f>IFERROR(VLOOKUP(V$4,Drivers!$B$8:$F$66,4,FALSE),0)</f>
        <v>0</v>
      </c>
      <c r="W9" s="212">
        <f>IFERROR(VLOOKUP(W$4,Drivers!$B$8:$F$66,4,FALSE),0)</f>
        <v>20</v>
      </c>
      <c r="X9" s="213">
        <f>IFERROR(VLOOKUP(X$4,Drivers!$B$8:$F$66,4,FALSE),0)</f>
        <v>0</v>
      </c>
      <c r="Y9" s="213">
        <f>IFERROR(VLOOKUP(Y$4,Drivers!$B$8:$F$66,4,FALSE),0)</f>
        <v>0</v>
      </c>
      <c r="Z9" s="213">
        <f>IFERROR(VLOOKUP(Z$4,Drivers!$B$8:$F$66,4,FALSE),0)</f>
        <v>0</v>
      </c>
      <c r="AA9" s="213">
        <f>IFERROR(VLOOKUP(AA$4,Drivers!$B$8:$F$66,4,FALSE),0)</f>
        <v>0</v>
      </c>
      <c r="AB9" s="213">
        <f>IFERROR(VLOOKUP(AB$4,Drivers!$B$8:$F$66,4,FALSE),0)</f>
        <v>0</v>
      </c>
      <c r="AC9" s="212">
        <f>IFERROR(VLOOKUP(AC$4,Drivers!$B$8:$F$66,4,FALSE),0)</f>
        <v>0</v>
      </c>
      <c r="AD9" s="212">
        <f>IFERROR(VLOOKUP(AD$4,Drivers!$B$8:$F$66,4,FALSE),0)</f>
        <v>0</v>
      </c>
      <c r="AE9" s="212">
        <f>IFERROR(VLOOKUP(AE$4,Drivers!$B$8:$F$66,4,FALSE),0)</f>
        <v>0</v>
      </c>
      <c r="AF9" s="212">
        <f>IFERROR(VLOOKUP(AF$4,Drivers!$B$8:$F$66,4,FALSE),0)</f>
        <v>0</v>
      </c>
      <c r="AG9" s="212">
        <f>IFERROR(VLOOKUP(AG$4,Drivers!$B$8:$F$66,4,FALSE),0)</f>
        <v>0</v>
      </c>
      <c r="AH9" s="211">
        <f>IFERROR(VLOOKUP(AH$4,Drivers!$B$8:$F$66,4,FALSE),0)</f>
        <v>0</v>
      </c>
      <c r="AI9" s="212">
        <f>IFERROR(VLOOKUP(AI$4,Drivers!$B$8:$F$66,4,FALSE),0)</f>
        <v>0</v>
      </c>
      <c r="AJ9" s="213">
        <f>IFERROR(VLOOKUP(AJ$4,Drivers!$B$8:$F$66,4,FALSE),0)</f>
        <v>0</v>
      </c>
      <c r="AK9" s="213">
        <f>IFERROR(VLOOKUP(AK$4,Drivers!$B$8:$F$66,4,FALSE),0)</f>
        <v>0</v>
      </c>
      <c r="AL9" s="213">
        <f>IFERROR(VLOOKUP(AL$4,Drivers!$B$8:$F$66,4,FALSE),0)</f>
        <v>0</v>
      </c>
      <c r="AM9" s="213">
        <f>IFERROR(VLOOKUP(AM$4,Drivers!$B$8:$F$66,4,FALSE),0)</f>
        <v>0</v>
      </c>
      <c r="AN9" s="213">
        <f>IFERROR(VLOOKUP(AN$4,Drivers!$B$8:$F$66,4,FALSE),0)</f>
        <v>0</v>
      </c>
      <c r="AO9" s="212">
        <f>IFERROR(VLOOKUP(AO$4,Drivers!$B$8:$F$66,4,FALSE),0)</f>
        <v>0</v>
      </c>
      <c r="AP9" s="212">
        <f>IFERROR(VLOOKUP(AP$4,Drivers!$B$8:$F$66,4,FALSE),0)</f>
        <v>0</v>
      </c>
      <c r="AQ9" s="212">
        <f>IFERROR(VLOOKUP(AQ$4,Drivers!$B$8:$F$66,4,FALSE),0)</f>
        <v>0</v>
      </c>
      <c r="AR9" s="212">
        <f>IFERROR(VLOOKUP(AR$4,Drivers!$B$8:$F$66,4,FALSE),0)</f>
        <v>0</v>
      </c>
      <c r="AS9" s="212">
        <f>IFERROR(VLOOKUP(AS$4,Drivers!$B$8:$F$66,4,FALSE),0)</f>
        <v>0</v>
      </c>
      <c r="AT9" s="211">
        <f>IFERROR(VLOOKUP(AT$4,Drivers!$B$8:$F$66,4,FALSE),0)</f>
        <v>0</v>
      </c>
      <c r="AU9" s="212">
        <f>IFERROR(VLOOKUP(AU$4,Drivers!$B$8:$F$66,4,FALSE),0)</f>
        <v>0</v>
      </c>
      <c r="AV9" s="213">
        <f>IFERROR(VLOOKUP(AV$4,Drivers!$B$8:$F$66,4,FALSE),0)</f>
        <v>0</v>
      </c>
      <c r="AW9" s="213">
        <f>IFERROR(VLOOKUP(AW$4,Drivers!$B$8:$F$66,4,FALSE),0)</f>
        <v>0</v>
      </c>
      <c r="AX9" s="213">
        <f>IFERROR(VLOOKUP(AX$4,Drivers!$B$8:$F$66,4,FALSE),0)</f>
        <v>0</v>
      </c>
      <c r="AY9" s="213">
        <f>IFERROR(VLOOKUP(AY$4,Drivers!$B$8:$F$66,4,FALSE),0)</f>
        <v>0</v>
      </c>
      <c r="AZ9" s="213">
        <f>IFERROR(VLOOKUP(AZ$4,Drivers!$B$8:$F$66,4,FALSE),0)</f>
        <v>0</v>
      </c>
      <c r="BA9" s="212">
        <f>IFERROR(VLOOKUP(BA$4,Drivers!$B$8:$F$66,4,FALSE),0)</f>
        <v>0</v>
      </c>
      <c r="BB9" s="212">
        <f>IFERROR(VLOOKUP(BB$4,Drivers!$B$8:$F$66,4,FALSE),0)</f>
        <v>0</v>
      </c>
      <c r="BC9" s="212">
        <f>IFERROR(VLOOKUP(BC$4,Drivers!$B$8:$F$66,4,FALSE),0)</f>
        <v>0</v>
      </c>
      <c r="BD9" s="212">
        <f>IFERROR(VLOOKUP(BD$4,Drivers!$B$8:$F$66,4,FALSE),0)</f>
        <v>0</v>
      </c>
      <c r="BE9" s="212">
        <f>IFERROR(VLOOKUP(BE$4,Drivers!$B$8:$F$66,4,FALSE),0)</f>
        <v>0</v>
      </c>
      <c r="BF9" s="211">
        <f>IFERROR(VLOOKUP(BF$4,Drivers!$B$8:$F$66,4,FALSE),0)</f>
        <v>0</v>
      </c>
      <c r="BG9" s="212">
        <f>IFERROR(VLOOKUP(BG$4,Drivers!$B$8:$F$66,4,FALSE),0)</f>
        <v>0</v>
      </c>
      <c r="BH9" s="213">
        <f>IFERROR(VLOOKUP(BH$4,Drivers!$B$8:$F$66,4,FALSE),0)</f>
        <v>0</v>
      </c>
      <c r="BI9" s="213">
        <f>IFERROR(VLOOKUP(BI$4,Drivers!$B$8:$F$66,4,FALSE),0)</f>
        <v>0</v>
      </c>
      <c r="BJ9" s="213">
        <f>IFERROR(VLOOKUP(BJ$4,Drivers!$B$8:$F$66,4,FALSE),0)</f>
        <v>0</v>
      </c>
      <c r="BK9" s="213">
        <f>IFERROR(VLOOKUP(BK$4,Drivers!$B$8:$F$66,4,FALSE),0)</f>
        <v>0</v>
      </c>
      <c r="BL9" s="213">
        <f>IFERROR(VLOOKUP(BL$4,Drivers!$B$8:$F$66,4,FALSE),0)</f>
        <v>0</v>
      </c>
      <c r="BM9" s="212">
        <f>IFERROR(VLOOKUP(BM$4,Drivers!$B$8:$F$66,4,FALSE),0)</f>
        <v>0</v>
      </c>
      <c r="BN9" s="212">
        <f>IFERROR(VLOOKUP(BN$4,Drivers!$B$8:$F$66,4,FALSE),0)</f>
        <v>0</v>
      </c>
      <c r="BO9" s="212">
        <f>IFERROR(VLOOKUP(BO$4,Drivers!$B$8:$F$66,4,FALSE),0)</f>
        <v>0</v>
      </c>
      <c r="BP9" s="212">
        <f>IFERROR(VLOOKUP(BP$4,Drivers!$B$8:$F$66,4,FALSE),0)</f>
        <v>0</v>
      </c>
      <c r="BQ9" s="212">
        <f>IFERROR(VLOOKUP(BQ$4,Drivers!$B$8:$F$66,4,FALSE),0)</f>
        <v>0</v>
      </c>
      <c r="BR9" s="211">
        <f>IFERROR(VLOOKUP(BR$4,Drivers!$B$8:$F$66,4,FALSE),0)</f>
        <v>0</v>
      </c>
    </row>
    <row r="10" spans="1:70" ht="13.2" x14ac:dyDescent="0.3">
      <c r="B10" s="34"/>
      <c r="C10" s="204" t="s">
        <v>208</v>
      </c>
      <c r="D10" s="14"/>
      <c r="E10" s="234">
        <f t="shared" si="1"/>
        <v>25</v>
      </c>
      <c r="F10" s="234">
        <f t="shared" si="2"/>
        <v>30</v>
      </c>
      <c r="G10" s="234">
        <f t="shared" si="3"/>
        <v>0</v>
      </c>
      <c r="H10" s="234">
        <f t="shared" si="4"/>
        <v>0</v>
      </c>
      <c r="I10" s="234">
        <f t="shared" si="5"/>
        <v>0</v>
      </c>
      <c r="J10" s="248"/>
      <c r="K10" s="244">
        <f>IFERROR(VLOOKUP(K$4,Drivers!$B$8:$F$66,5,FALSE),0)</f>
        <v>0</v>
      </c>
      <c r="L10" s="245">
        <f>IFERROR(VLOOKUP(L$4,Drivers!$B$8:$F$66,5,FALSE),0)</f>
        <v>0</v>
      </c>
      <c r="M10" s="245">
        <f>IFERROR(VLOOKUP(M$4,Drivers!$B$8:$F$66,5,FALSE),0)</f>
        <v>0</v>
      </c>
      <c r="N10" s="245">
        <f>IFERROR(VLOOKUP(N$4,Drivers!$B$8:$F$66,5,FALSE),0)</f>
        <v>0</v>
      </c>
      <c r="O10" s="245">
        <f>IFERROR(VLOOKUP(O$4,Drivers!$B$8:$F$66,5,FALSE),0)</f>
        <v>0</v>
      </c>
      <c r="P10" s="245">
        <f>IFERROR(VLOOKUP(P$4,Drivers!$B$8:$F$66,5,FALSE),0)</f>
        <v>25</v>
      </c>
      <c r="Q10" s="244">
        <f>IFERROR(VLOOKUP(Q$4,Drivers!$B$8:$F$66,5,FALSE),0)</f>
        <v>0</v>
      </c>
      <c r="R10" s="244">
        <f>IFERROR(VLOOKUP(R$4,Drivers!$B$8:$F$66,5,FALSE),0)</f>
        <v>0</v>
      </c>
      <c r="S10" s="244">
        <f>IFERROR(VLOOKUP(S$4,Drivers!$B$8:$F$66,5,FALSE),0)</f>
        <v>0</v>
      </c>
      <c r="T10" s="244">
        <f>IFERROR(VLOOKUP(T$4,Drivers!$B$8:$F$66,5,FALSE),0)</f>
        <v>0</v>
      </c>
      <c r="U10" s="244">
        <f>IFERROR(VLOOKUP(U$4,Drivers!$B$8:$F$66,5,FALSE),0)</f>
        <v>0</v>
      </c>
      <c r="V10" s="234">
        <f>IFERROR(VLOOKUP(V$4,Drivers!$B$8:$F$66,5,FALSE),0)</f>
        <v>0</v>
      </c>
      <c r="W10" s="244">
        <f>IFERROR(VLOOKUP(W$4,Drivers!$B$8:$F$66,5,FALSE),0)</f>
        <v>30</v>
      </c>
      <c r="X10" s="245">
        <f>IFERROR(VLOOKUP(X$4,Drivers!$B$8:$F$66,5,FALSE),0)</f>
        <v>0</v>
      </c>
      <c r="Y10" s="245">
        <f>IFERROR(VLOOKUP(Y$4,Drivers!$B$8:$F$66,5,FALSE),0)</f>
        <v>0</v>
      </c>
      <c r="Z10" s="245">
        <f>IFERROR(VLOOKUP(Z$4,Drivers!$B$8:$F$66,5,FALSE),0)</f>
        <v>0</v>
      </c>
      <c r="AA10" s="245">
        <f>IFERROR(VLOOKUP(AA$4,Drivers!$B$8:$F$66,5,FALSE),0)</f>
        <v>0</v>
      </c>
      <c r="AB10" s="245">
        <f>IFERROR(VLOOKUP(AB$4,Drivers!$B$8:$F$66,5,FALSE),0)</f>
        <v>0</v>
      </c>
      <c r="AC10" s="244">
        <f>IFERROR(VLOOKUP(AC$4,Drivers!$B$8:$F$66,5,FALSE),0)</f>
        <v>0</v>
      </c>
      <c r="AD10" s="244">
        <f>IFERROR(VLOOKUP(AD$4,Drivers!$B$8:$F$66,5,FALSE),0)</f>
        <v>0</v>
      </c>
      <c r="AE10" s="244">
        <f>IFERROR(VLOOKUP(AE$4,Drivers!$B$8:$F$66,5,FALSE),0)</f>
        <v>0</v>
      </c>
      <c r="AF10" s="244">
        <f>IFERROR(VLOOKUP(AF$4,Drivers!$B$8:$F$66,5,FALSE),0)</f>
        <v>0</v>
      </c>
      <c r="AG10" s="244">
        <f>IFERROR(VLOOKUP(AG$4,Drivers!$B$8:$F$66,5,FALSE),0)</f>
        <v>0</v>
      </c>
      <c r="AH10" s="234">
        <f>IFERROR(VLOOKUP(AH$4,Drivers!$B$8:$F$66,5,FALSE),0)</f>
        <v>0</v>
      </c>
      <c r="AI10" s="244">
        <f>IFERROR(VLOOKUP(AI$4,Drivers!$B$8:$F$66,5,FALSE),0)</f>
        <v>0</v>
      </c>
      <c r="AJ10" s="245">
        <f>IFERROR(VLOOKUP(AJ$4,Drivers!$B$8:$F$66,5,FALSE),0)</f>
        <v>0</v>
      </c>
      <c r="AK10" s="245">
        <f>IFERROR(VLOOKUP(AK$4,Drivers!$B$8:$F$66,5,FALSE),0)</f>
        <v>0</v>
      </c>
      <c r="AL10" s="245">
        <f>IFERROR(VLOOKUP(AL$4,Drivers!$B$8:$F$66,5,FALSE),0)</f>
        <v>0</v>
      </c>
      <c r="AM10" s="245">
        <f>IFERROR(VLOOKUP(AM$4,Drivers!$B$8:$F$66,5,FALSE),0)</f>
        <v>0</v>
      </c>
      <c r="AN10" s="245">
        <f>IFERROR(VLOOKUP(AN$4,Drivers!$B$8:$F$66,5,FALSE),0)</f>
        <v>0</v>
      </c>
      <c r="AO10" s="244">
        <f>IFERROR(VLOOKUP(AO$4,Drivers!$B$8:$F$66,5,FALSE),0)</f>
        <v>0</v>
      </c>
      <c r="AP10" s="244">
        <f>IFERROR(VLOOKUP(AP$4,Drivers!$B$8:$F$66,5,FALSE),0)</f>
        <v>0</v>
      </c>
      <c r="AQ10" s="244">
        <f>IFERROR(VLOOKUP(AQ$4,Drivers!$B$8:$F$66,5,FALSE),0)</f>
        <v>0</v>
      </c>
      <c r="AR10" s="244">
        <f>IFERROR(VLOOKUP(AR$4,Drivers!$B$8:$F$66,5,FALSE),0)</f>
        <v>0</v>
      </c>
      <c r="AS10" s="244">
        <f>IFERROR(VLOOKUP(AS$4,Drivers!$B$8:$F$66,5,FALSE),0)</f>
        <v>0</v>
      </c>
      <c r="AT10" s="234">
        <f>IFERROR(VLOOKUP(AT$4,Drivers!$B$8:$F$66,5,FALSE),0)</f>
        <v>0</v>
      </c>
      <c r="AU10" s="244">
        <f>IFERROR(VLOOKUP(AU$4,Drivers!$B$8:$F$66,5,FALSE),0)</f>
        <v>0</v>
      </c>
      <c r="AV10" s="245">
        <f>IFERROR(VLOOKUP(AV$4,Drivers!$B$8:$F$66,5,FALSE),0)</f>
        <v>0</v>
      </c>
      <c r="AW10" s="245">
        <f>IFERROR(VLOOKUP(AW$4,Drivers!$B$8:$F$66,5,FALSE),0)</f>
        <v>0</v>
      </c>
      <c r="AX10" s="245">
        <f>IFERROR(VLOOKUP(AX$4,Drivers!$B$8:$F$66,5,FALSE),0)</f>
        <v>0</v>
      </c>
      <c r="AY10" s="245">
        <f>IFERROR(VLOOKUP(AY$4,Drivers!$B$8:$F$66,5,FALSE),0)</f>
        <v>0</v>
      </c>
      <c r="AZ10" s="245">
        <f>IFERROR(VLOOKUP(AZ$4,Drivers!$B$8:$F$66,5,FALSE),0)</f>
        <v>0</v>
      </c>
      <c r="BA10" s="244">
        <f>IFERROR(VLOOKUP(BA$4,Drivers!$B$8:$F$66,5,FALSE),0)</f>
        <v>0</v>
      </c>
      <c r="BB10" s="244">
        <f>IFERROR(VLOOKUP(BB$4,Drivers!$B$8:$F$66,5,FALSE),0)</f>
        <v>0</v>
      </c>
      <c r="BC10" s="244">
        <f>IFERROR(VLOOKUP(BC$4,Drivers!$B$8:$F$66,5,FALSE),0)</f>
        <v>0</v>
      </c>
      <c r="BD10" s="244">
        <f>IFERROR(VLOOKUP(BD$4,Drivers!$B$8:$F$66,5,FALSE),0)</f>
        <v>0</v>
      </c>
      <c r="BE10" s="244">
        <f>IFERROR(VLOOKUP(BE$4,Drivers!$B$8:$F$66,5,FALSE),0)</f>
        <v>0</v>
      </c>
      <c r="BF10" s="234">
        <f>IFERROR(VLOOKUP(BF$4,Drivers!$B$8:$F$66,5,FALSE),0)</f>
        <v>0</v>
      </c>
      <c r="BG10" s="244">
        <f>IFERROR(VLOOKUP(BG$4,Drivers!$B$8:$F$66,5,FALSE),0)</f>
        <v>0</v>
      </c>
      <c r="BH10" s="245">
        <f>IFERROR(VLOOKUP(BH$4,Drivers!$B$8:$F$66,5,FALSE),0)</f>
        <v>0</v>
      </c>
      <c r="BI10" s="245">
        <f>IFERROR(VLOOKUP(BI$4,Drivers!$B$8:$F$66,5,FALSE),0)</f>
        <v>0</v>
      </c>
      <c r="BJ10" s="245">
        <f>IFERROR(VLOOKUP(BJ$4,Drivers!$B$8:$F$66,5,FALSE),0)</f>
        <v>0</v>
      </c>
      <c r="BK10" s="245">
        <f>IFERROR(VLOOKUP(BK$4,Drivers!$B$8:$F$66,5,FALSE),0)</f>
        <v>0</v>
      </c>
      <c r="BL10" s="245">
        <f>IFERROR(VLOOKUP(BL$4,Drivers!$B$8:$F$66,5,FALSE),0)</f>
        <v>0</v>
      </c>
      <c r="BM10" s="244">
        <f>IFERROR(VLOOKUP(BM$4,Drivers!$B$8:$F$66,5,FALSE),0)</f>
        <v>0</v>
      </c>
      <c r="BN10" s="244">
        <f>IFERROR(VLOOKUP(BN$4,Drivers!$B$8:$F$66,5,FALSE),0)</f>
        <v>0</v>
      </c>
      <c r="BO10" s="244">
        <f>IFERROR(VLOOKUP(BO$4,Drivers!$B$8:$F$66,5,FALSE),0)</f>
        <v>0</v>
      </c>
      <c r="BP10" s="244">
        <f>IFERROR(VLOOKUP(BP$4,Drivers!$B$8:$F$66,5,FALSE),0)</f>
        <v>0</v>
      </c>
      <c r="BQ10" s="244">
        <f>IFERROR(VLOOKUP(BQ$4,Drivers!$B$8:$F$66,5,FALSE),0)</f>
        <v>0</v>
      </c>
      <c r="BR10" s="234">
        <f>IFERROR(VLOOKUP(BR$4,Drivers!$B$8:$F$66,5,FALSE),0)</f>
        <v>0</v>
      </c>
    </row>
    <row r="11" spans="1:70" s="175" customFormat="1" ht="13.2" x14ac:dyDescent="0.3">
      <c r="A11" s="271"/>
      <c r="C11" s="181" t="s">
        <v>229</v>
      </c>
      <c r="E11" s="212"/>
      <c r="F11" s="212"/>
      <c r="G11" s="212"/>
      <c r="H11" s="212"/>
      <c r="I11" s="212"/>
      <c r="J11" s="253"/>
      <c r="K11" s="212">
        <f>SUM(K7:K10)</f>
        <v>0</v>
      </c>
      <c r="L11" s="213">
        <f t="shared" ref="L11:BR11" si="6">SUM(L7:L10)</f>
        <v>0</v>
      </c>
      <c r="M11" s="213">
        <f t="shared" si="6"/>
        <v>0</v>
      </c>
      <c r="N11" s="213">
        <f t="shared" si="6"/>
        <v>0</v>
      </c>
      <c r="O11" s="213">
        <f t="shared" si="6"/>
        <v>0</v>
      </c>
      <c r="P11" s="213">
        <f>SUM(P7:P10)</f>
        <v>50</v>
      </c>
      <c r="Q11" s="212">
        <f t="shared" si="6"/>
        <v>0</v>
      </c>
      <c r="R11" s="212">
        <f t="shared" si="6"/>
        <v>0</v>
      </c>
      <c r="S11" s="212">
        <f t="shared" si="6"/>
        <v>0</v>
      </c>
      <c r="T11" s="212">
        <f t="shared" si="6"/>
        <v>0</v>
      </c>
      <c r="U11" s="212">
        <f t="shared" si="6"/>
        <v>0</v>
      </c>
      <c r="V11" s="212">
        <f t="shared" si="6"/>
        <v>0</v>
      </c>
      <c r="W11" s="212">
        <f t="shared" si="6"/>
        <v>110</v>
      </c>
      <c r="X11" s="213">
        <f t="shared" si="6"/>
        <v>0</v>
      </c>
      <c r="Y11" s="213">
        <f t="shared" si="6"/>
        <v>0</v>
      </c>
      <c r="Z11" s="213">
        <f t="shared" si="6"/>
        <v>0</v>
      </c>
      <c r="AA11" s="213">
        <f t="shared" si="6"/>
        <v>0</v>
      </c>
      <c r="AB11" s="213">
        <f t="shared" si="6"/>
        <v>0</v>
      </c>
      <c r="AC11" s="212">
        <f t="shared" si="6"/>
        <v>0</v>
      </c>
      <c r="AD11" s="212">
        <f t="shared" si="6"/>
        <v>0</v>
      </c>
      <c r="AE11" s="212">
        <f t="shared" si="6"/>
        <v>0</v>
      </c>
      <c r="AF11" s="212">
        <f t="shared" si="6"/>
        <v>0</v>
      </c>
      <c r="AG11" s="212">
        <f t="shared" si="6"/>
        <v>0</v>
      </c>
      <c r="AH11" s="212">
        <f t="shared" si="6"/>
        <v>0</v>
      </c>
      <c r="AI11" s="212">
        <f t="shared" si="6"/>
        <v>0</v>
      </c>
      <c r="AJ11" s="213">
        <f t="shared" si="6"/>
        <v>0</v>
      </c>
      <c r="AK11" s="213">
        <f t="shared" si="6"/>
        <v>0</v>
      </c>
      <c r="AL11" s="213">
        <f t="shared" si="6"/>
        <v>0</v>
      </c>
      <c r="AM11" s="213">
        <f t="shared" si="6"/>
        <v>0</v>
      </c>
      <c r="AN11" s="213">
        <f t="shared" si="6"/>
        <v>0</v>
      </c>
      <c r="AO11" s="212">
        <f t="shared" si="6"/>
        <v>0</v>
      </c>
      <c r="AP11" s="212">
        <f t="shared" si="6"/>
        <v>0</v>
      </c>
      <c r="AQ11" s="212">
        <f t="shared" si="6"/>
        <v>0</v>
      </c>
      <c r="AR11" s="212">
        <f t="shared" si="6"/>
        <v>0</v>
      </c>
      <c r="AS11" s="212">
        <f t="shared" si="6"/>
        <v>0</v>
      </c>
      <c r="AT11" s="212">
        <f t="shared" si="6"/>
        <v>0</v>
      </c>
      <c r="AU11" s="212">
        <f t="shared" si="6"/>
        <v>0</v>
      </c>
      <c r="AV11" s="213">
        <f t="shared" si="6"/>
        <v>0</v>
      </c>
      <c r="AW11" s="213">
        <f t="shared" si="6"/>
        <v>0</v>
      </c>
      <c r="AX11" s="213">
        <f t="shared" si="6"/>
        <v>0</v>
      </c>
      <c r="AY11" s="213">
        <f t="shared" si="6"/>
        <v>0</v>
      </c>
      <c r="AZ11" s="213">
        <f t="shared" si="6"/>
        <v>0</v>
      </c>
      <c r="BA11" s="212">
        <f t="shared" si="6"/>
        <v>0</v>
      </c>
      <c r="BB11" s="212">
        <f t="shared" si="6"/>
        <v>0</v>
      </c>
      <c r="BC11" s="212">
        <f t="shared" si="6"/>
        <v>0</v>
      </c>
      <c r="BD11" s="212">
        <f t="shared" si="6"/>
        <v>0</v>
      </c>
      <c r="BE11" s="212">
        <f t="shared" si="6"/>
        <v>0</v>
      </c>
      <c r="BF11" s="212">
        <f t="shared" si="6"/>
        <v>0</v>
      </c>
      <c r="BG11" s="212">
        <f t="shared" si="6"/>
        <v>0</v>
      </c>
      <c r="BH11" s="213">
        <f t="shared" si="6"/>
        <v>0</v>
      </c>
      <c r="BI11" s="213">
        <f t="shared" si="6"/>
        <v>0</v>
      </c>
      <c r="BJ11" s="213">
        <f t="shared" si="6"/>
        <v>0</v>
      </c>
      <c r="BK11" s="213">
        <f t="shared" si="6"/>
        <v>0</v>
      </c>
      <c r="BL11" s="213">
        <f t="shared" si="6"/>
        <v>0</v>
      </c>
      <c r="BM11" s="212">
        <f t="shared" si="6"/>
        <v>0</v>
      </c>
      <c r="BN11" s="212">
        <f t="shared" si="6"/>
        <v>0</v>
      </c>
      <c r="BO11" s="212">
        <f t="shared" si="6"/>
        <v>0</v>
      </c>
      <c r="BP11" s="212">
        <f t="shared" si="6"/>
        <v>0</v>
      </c>
      <c r="BQ11" s="212">
        <f t="shared" si="6"/>
        <v>0</v>
      </c>
      <c r="BR11" s="212">
        <f t="shared" si="6"/>
        <v>0</v>
      </c>
    </row>
    <row r="12" spans="1:70" ht="13.2" hidden="1" x14ac:dyDescent="0.3">
      <c r="B12" s="34"/>
      <c r="C12" s="14" t="s">
        <v>230</v>
      </c>
      <c r="D12" s="14"/>
      <c r="E12" s="212">
        <f t="shared" ca="1" si="1"/>
        <v>5569.9439058338949</v>
      </c>
      <c r="F12" s="212">
        <f t="shared" ca="1" si="2"/>
        <v>6058.7187124938164</v>
      </c>
      <c r="G12" s="212">
        <f t="shared" ca="1" si="3"/>
        <v>6590.3845815529903</v>
      </c>
      <c r="H12" s="212">
        <f t="shared" ca="1" si="4"/>
        <v>7168.7052979051286</v>
      </c>
      <c r="I12" s="212">
        <f t="shared" ca="1" si="5"/>
        <v>7797.7749268318439</v>
      </c>
      <c r="J12" s="248"/>
      <c r="K12" s="212">
        <f ca="1">Income!K7</f>
        <v>446.47746364271467</v>
      </c>
      <c r="L12" s="213">
        <f ca="1">Income!L7</f>
        <v>449.61801756418254</v>
      </c>
      <c r="M12" s="213">
        <f ca="1">Income!M7</f>
        <v>452.7806623631007</v>
      </c>
      <c r="N12" s="213">
        <f ca="1">Income!N7</f>
        <v>455.96555342825684</v>
      </c>
      <c r="O12" s="213">
        <f ca="1">Income!O7</f>
        <v>459.17284724145435</v>
      </c>
      <c r="P12" s="213">
        <f ca="1">Income!P7</f>
        <v>462.40270138520054</v>
      </c>
      <c r="Q12" s="212">
        <f ca="1">Income!Q7</f>
        <v>465.65527455044929</v>
      </c>
      <c r="R12" s="212">
        <f ca="1">Income!R7</f>
        <v>468.93072654439777</v>
      </c>
      <c r="S12" s="212">
        <f ca="1">Income!S7</f>
        <v>472.22921829833831</v>
      </c>
      <c r="T12" s="212">
        <f ca="1">Income!T7</f>
        <v>475.55091187556519</v>
      </c>
      <c r="U12" s="212">
        <f ca="1">Income!U7</f>
        <v>478.89597047933745</v>
      </c>
      <c r="V12" s="212">
        <f ca="1">Income!V7</f>
        <v>482.26455846089681</v>
      </c>
      <c r="W12" s="212">
        <f ca="1">Income!W7</f>
        <v>485.65684132754421</v>
      </c>
      <c r="X12" s="213">
        <f ca="1">Income!X7</f>
        <v>489.07298575076959</v>
      </c>
      <c r="Y12" s="213">
        <f ca="1">Income!Y7</f>
        <v>492.51315957444262</v>
      </c>
      <c r="Z12" s="213">
        <f ca="1">Income!Z7</f>
        <v>495.97753182305809</v>
      </c>
      <c r="AA12" s="213">
        <f ca="1">Income!AA7</f>
        <v>499.4662727100411</v>
      </c>
      <c r="AB12" s="213">
        <f ca="1">Income!AB7</f>
        <v>502.97955364611022</v>
      </c>
      <c r="AC12" s="212">
        <f ca="1">Income!AC7</f>
        <v>506.51754724769887</v>
      </c>
      <c r="AD12" s="212">
        <f ca="1">Income!AD7</f>
        <v>510.08042734543659</v>
      </c>
      <c r="AE12" s="212">
        <f ca="1">Income!AE7</f>
        <v>513.66836899268992</v>
      </c>
      <c r="AF12" s="212">
        <f ca="1">Income!AF7</f>
        <v>517.28154847416306</v>
      </c>
      <c r="AG12" s="212">
        <f ca="1">Income!AG7</f>
        <v>520.92014331455903</v>
      </c>
      <c r="AH12" s="212">
        <f ca="1">Income!AH7</f>
        <v>524.58433228730257</v>
      </c>
      <c r="AI12" s="212">
        <f ca="1">Income!AI7</f>
        <v>528.274295423323</v>
      </c>
      <c r="AJ12" s="213">
        <f ca="1">Income!AJ7</f>
        <v>531.99021401989967</v>
      </c>
      <c r="AK12" s="213">
        <f ca="1">Income!AK7</f>
        <v>535.73227064957041</v>
      </c>
      <c r="AL12" s="213">
        <f ca="1">Income!AL7</f>
        <v>539.50064916910014</v>
      </c>
      <c r="AM12" s="213">
        <f ca="1">Income!AM7</f>
        <v>543.29553472851637</v>
      </c>
      <c r="AN12" s="213">
        <f ca="1">Income!AN7</f>
        <v>547.11711378020402</v>
      </c>
      <c r="AO12" s="212">
        <f ca="1">Income!AO7</f>
        <v>550.96557408806757</v>
      </c>
      <c r="AP12" s="212">
        <f ca="1">Income!AP7</f>
        <v>554.84110473675617</v>
      </c>
      <c r="AQ12" s="212">
        <f ca="1">Income!AQ7</f>
        <v>558.74389614095321</v>
      </c>
      <c r="AR12" s="212">
        <f ca="1">Income!AR7</f>
        <v>562.67414005473324</v>
      </c>
      <c r="AS12" s="212">
        <f ca="1">Income!AS7</f>
        <v>566.63202958098168</v>
      </c>
      <c r="AT12" s="212">
        <f ca="1">Income!AT7</f>
        <v>570.61775918088347</v>
      </c>
      <c r="AU12" s="212">
        <f ca="1">Income!AU7</f>
        <v>574.63152468347732</v>
      </c>
      <c r="AV12" s="213">
        <f ca="1">Income!AV7</f>
        <v>578.67352329527716</v>
      </c>
      <c r="AW12" s="213">
        <f ca="1">Income!AW7</f>
        <v>582.74395360996141</v>
      </c>
      <c r="AX12" s="213">
        <f ca="1">Income!AX7</f>
        <v>586.84301561813015</v>
      </c>
      <c r="AY12" s="213">
        <f ca="1">Income!AY7</f>
        <v>590.97091071713203</v>
      </c>
      <c r="AZ12" s="213">
        <f ca="1">Income!AZ7</f>
        <v>595.12784172095837</v>
      </c>
      <c r="BA12" s="212">
        <f ca="1">Income!BA7</f>
        <v>599.31401287020844</v>
      </c>
      <c r="BB12" s="212">
        <f ca="1">Income!BB7</f>
        <v>603.52962984212411</v>
      </c>
      <c r="BC12" s="212">
        <f ca="1">Income!BC7</f>
        <v>607.77489976069614</v>
      </c>
      <c r="BD12" s="212">
        <f ca="1">Income!BD7</f>
        <v>612.05003120683932</v>
      </c>
      <c r="BE12" s="212">
        <f ca="1">Income!BE7</f>
        <v>616.35523422864151</v>
      </c>
      <c r="BF12" s="212">
        <f ca="1">Income!BF7</f>
        <v>620.69072035168358</v>
      </c>
      <c r="BG12" s="212">
        <f ca="1">Income!BG7</f>
        <v>625.05670258943223</v>
      </c>
      <c r="BH12" s="213">
        <f ca="1">Income!BH7</f>
        <v>629.45339545370609</v>
      </c>
      <c r="BI12" s="213">
        <f ca="1">Income!BI7</f>
        <v>633.88101496521483</v>
      </c>
      <c r="BJ12" s="213">
        <f ca="1">Income!BJ7</f>
        <v>638.33977866417274</v>
      </c>
      <c r="BK12" s="213">
        <f ca="1">Income!BK7</f>
        <v>642.82990562098814</v>
      </c>
      <c r="BL12" s="213">
        <f ca="1">Income!BL7</f>
        <v>647.35161644702521</v>
      </c>
      <c r="BM12" s="212">
        <f ca="1">Income!BM7</f>
        <v>651.90513330544422</v>
      </c>
      <c r="BN12" s="212">
        <f ca="1">Income!BN7</f>
        <v>656.4906799221169</v>
      </c>
      <c r="BO12" s="212">
        <f ca="1">Income!BO7</f>
        <v>661.10848159661816</v>
      </c>
      <c r="BP12" s="212">
        <f ca="1">Income!BP7</f>
        <v>665.75876521329678</v>
      </c>
      <c r="BQ12" s="212">
        <f ca="1">Income!BQ7</f>
        <v>670.44175925242143</v>
      </c>
      <c r="BR12" s="212">
        <f ca="1">Income!BR7</f>
        <v>675.15769380140648</v>
      </c>
    </row>
    <row r="13" spans="1:70" ht="13.2" x14ac:dyDescent="0.3">
      <c r="B13" s="34"/>
      <c r="C13" s="185" t="s">
        <v>231</v>
      </c>
      <c r="D13" s="14"/>
      <c r="E13" s="211">
        <f t="shared" ca="1" si="1"/>
        <v>278.49719529169477</v>
      </c>
      <c r="F13" s="211">
        <f t="shared" ca="1" si="2"/>
        <v>302.93593562469084</v>
      </c>
      <c r="G13" s="211">
        <f t="shared" ca="1" si="3"/>
        <v>329.51922907764947</v>
      </c>
      <c r="H13" s="211">
        <f t="shared" ca="1" si="4"/>
        <v>358.43526489525652</v>
      </c>
      <c r="I13" s="211">
        <f t="shared" ca="1" si="5"/>
        <v>389.8887463415922</v>
      </c>
      <c r="J13" s="248"/>
      <c r="K13" s="212">
        <f t="shared" ref="K13:AP13" ca="1" si="7">TermsCollectCash*K12</f>
        <v>22.323873182135735</v>
      </c>
      <c r="L13" s="213">
        <f t="shared" ca="1" si="7"/>
        <v>22.480900878209127</v>
      </c>
      <c r="M13" s="213">
        <f t="shared" ca="1" si="7"/>
        <v>22.639033118155037</v>
      </c>
      <c r="N13" s="213">
        <f t="shared" ca="1" si="7"/>
        <v>22.798277671412844</v>
      </c>
      <c r="O13" s="213">
        <f t="shared" ca="1" si="7"/>
        <v>22.95864236207272</v>
      </c>
      <c r="P13" s="213">
        <f t="shared" ca="1" si="7"/>
        <v>23.12013506926003</v>
      </c>
      <c r="Q13" s="212">
        <f t="shared" ca="1" si="7"/>
        <v>23.282763727522465</v>
      </c>
      <c r="R13" s="212">
        <f t="shared" ca="1" si="7"/>
        <v>23.446536327219889</v>
      </c>
      <c r="S13" s="212">
        <f t="shared" ca="1" si="7"/>
        <v>23.611460914916918</v>
      </c>
      <c r="T13" s="212">
        <f t="shared" ca="1" si="7"/>
        <v>23.77754559377826</v>
      </c>
      <c r="U13" s="212">
        <f t="shared" ca="1" si="7"/>
        <v>23.944798523966874</v>
      </c>
      <c r="V13" s="211">
        <f t="shared" ca="1" si="7"/>
        <v>24.113227923044843</v>
      </c>
      <c r="W13" s="212">
        <f t="shared" ca="1" si="7"/>
        <v>24.282842066377214</v>
      </c>
      <c r="X13" s="213">
        <f t="shared" ca="1" si="7"/>
        <v>24.453649287538482</v>
      </c>
      <c r="Y13" s="213">
        <f t="shared" ca="1" si="7"/>
        <v>24.625657978722131</v>
      </c>
      <c r="Z13" s="213">
        <f t="shared" ca="1" si="7"/>
        <v>24.798876591152904</v>
      </c>
      <c r="AA13" s="213">
        <f t="shared" ca="1" si="7"/>
        <v>24.973313635502056</v>
      </c>
      <c r="AB13" s="213">
        <f t="shared" ca="1" si="7"/>
        <v>25.148977682305514</v>
      </c>
      <c r="AC13" s="212">
        <f t="shared" ca="1" si="7"/>
        <v>25.325877362384944</v>
      </c>
      <c r="AD13" s="212">
        <f t="shared" ca="1" si="7"/>
        <v>25.504021367271832</v>
      </c>
      <c r="AE13" s="212">
        <f t="shared" ca="1" si="7"/>
        <v>25.683418449634498</v>
      </c>
      <c r="AF13" s="212">
        <f t="shared" ca="1" si="7"/>
        <v>25.864077423708153</v>
      </c>
      <c r="AG13" s="212">
        <f t="shared" ca="1" si="7"/>
        <v>26.046007165727953</v>
      </c>
      <c r="AH13" s="211">
        <f t="shared" ca="1" si="7"/>
        <v>26.229216614365129</v>
      </c>
      <c r="AI13" s="212">
        <f t="shared" ca="1" si="7"/>
        <v>26.413714771166152</v>
      </c>
      <c r="AJ13" s="213">
        <f t="shared" ca="1" si="7"/>
        <v>26.599510700994983</v>
      </c>
      <c r="AK13" s="213">
        <f t="shared" ca="1" si="7"/>
        <v>26.786613532478523</v>
      </c>
      <c r="AL13" s="213">
        <f t="shared" ca="1" si="7"/>
        <v>26.975032458455008</v>
      </c>
      <c r="AM13" s="213">
        <f t="shared" ca="1" si="7"/>
        <v>27.164776736425821</v>
      </c>
      <c r="AN13" s="213">
        <f t="shared" ca="1" si="7"/>
        <v>27.355855689010202</v>
      </c>
      <c r="AO13" s="212">
        <f t="shared" ca="1" si="7"/>
        <v>27.54827870440338</v>
      </c>
      <c r="AP13" s="212">
        <f t="shared" ca="1" si="7"/>
        <v>27.74205523683781</v>
      </c>
      <c r="AQ13" s="212">
        <f t="shared" ref="AQ13:BR13" ca="1" si="8">TermsCollectCash*AQ12</f>
        <v>27.937194807047661</v>
      </c>
      <c r="AR13" s="212">
        <f t="shared" ca="1" si="8"/>
        <v>28.133707002736664</v>
      </c>
      <c r="AS13" s="212">
        <f t="shared" ca="1" si="8"/>
        <v>28.331601479049084</v>
      </c>
      <c r="AT13" s="211">
        <f t="shared" ca="1" si="8"/>
        <v>28.530887959044176</v>
      </c>
      <c r="AU13" s="212">
        <f t="shared" ca="1" si="8"/>
        <v>28.731576234173868</v>
      </c>
      <c r="AV13" s="213">
        <f t="shared" ca="1" si="8"/>
        <v>28.93367616476386</v>
      </c>
      <c r="AW13" s="213">
        <f t="shared" ca="1" si="8"/>
        <v>29.137197680498073</v>
      </c>
      <c r="AX13" s="213">
        <f t="shared" ca="1" si="8"/>
        <v>29.342150780906508</v>
      </c>
      <c r="AY13" s="213">
        <f t="shared" ca="1" si="8"/>
        <v>29.548545535856604</v>
      </c>
      <c r="AZ13" s="213">
        <f t="shared" ca="1" si="8"/>
        <v>29.756392086047921</v>
      </c>
      <c r="BA13" s="212">
        <f t="shared" ca="1" si="8"/>
        <v>29.965700643510424</v>
      </c>
      <c r="BB13" s="212">
        <f t="shared" ca="1" si="8"/>
        <v>30.176481492106205</v>
      </c>
      <c r="BC13" s="212">
        <f t="shared" ca="1" si="8"/>
        <v>30.388744988034809</v>
      </c>
      <c r="BD13" s="212">
        <f t="shared" ca="1" si="8"/>
        <v>30.602501560341967</v>
      </c>
      <c r="BE13" s="212">
        <f t="shared" ca="1" si="8"/>
        <v>30.817761711432077</v>
      </c>
      <c r="BF13" s="211">
        <f t="shared" ca="1" si="8"/>
        <v>31.03453601758418</v>
      </c>
      <c r="BG13" s="212">
        <f t="shared" ca="1" si="8"/>
        <v>31.252835129471613</v>
      </c>
      <c r="BH13" s="213">
        <f t="shared" ca="1" si="8"/>
        <v>31.472669772685308</v>
      </c>
      <c r="BI13" s="213">
        <f t="shared" ca="1" si="8"/>
        <v>31.694050748260743</v>
      </c>
      <c r="BJ13" s="213">
        <f t="shared" ca="1" si="8"/>
        <v>31.916988933208639</v>
      </c>
      <c r="BK13" s="213">
        <f t="shared" ca="1" si="8"/>
        <v>32.141495281049409</v>
      </c>
      <c r="BL13" s="213">
        <f t="shared" ca="1" si="8"/>
        <v>32.367580822351265</v>
      </c>
      <c r="BM13" s="212">
        <f t="shared" ca="1" si="8"/>
        <v>32.59525666527221</v>
      </c>
      <c r="BN13" s="212">
        <f t="shared" ca="1" si="8"/>
        <v>32.824533996105849</v>
      </c>
      <c r="BO13" s="212">
        <f t="shared" ca="1" si="8"/>
        <v>33.055424079830907</v>
      </c>
      <c r="BP13" s="212">
        <f t="shared" ca="1" si="8"/>
        <v>33.287938260664838</v>
      </c>
      <c r="BQ13" s="212">
        <f t="shared" ca="1" si="8"/>
        <v>33.522087962621072</v>
      </c>
      <c r="BR13" s="211">
        <f t="shared" ca="1" si="8"/>
        <v>33.757884690070327</v>
      </c>
    </row>
    <row r="14" spans="1:70" ht="13.2" hidden="1" x14ac:dyDescent="0.3">
      <c r="C14" s="181" t="s">
        <v>232</v>
      </c>
      <c r="D14" s="14"/>
      <c r="E14" s="212">
        <f t="shared" ca="1" si="1"/>
        <v>2543.8396736864988</v>
      </c>
      <c r="F14" s="212">
        <f t="shared" ca="1" si="2"/>
        <v>3008.1994693337051</v>
      </c>
      <c r="G14" s="212">
        <f t="shared" ca="1" si="3"/>
        <v>3272.1755773297045</v>
      </c>
      <c r="H14" s="212">
        <f t="shared" ca="1" si="4"/>
        <v>3559.3161683671647</v>
      </c>
      <c r="I14" s="212">
        <f t="shared" ca="1" si="5"/>
        <v>3871.6539766910601</v>
      </c>
      <c r="J14" s="248"/>
      <c r="K14" s="212"/>
      <c r="L14" s="213">
        <f t="shared" ref="L14:AQ14" ca="1" si="9">TermsCollect30*K12</f>
        <v>223.23873182135733</v>
      </c>
      <c r="M14" s="213">
        <f t="shared" ca="1" si="9"/>
        <v>224.80900878209127</v>
      </c>
      <c r="N14" s="213">
        <f t="shared" ca="1" si="9"/>
        <v>226.39033118155035</v>
      </c>
      <c r="O14" s="213">
        <f t="shared" ca="1" si="9"/>
        <v>227.98277671412842</v>
      </c>
      <c r="P14" s="213">
        <f t="shared" ca="1" si="9"/>
        <v>229.58642362072717</v>
      </c>
      <c r="Q14" s="212">
        <f t="shared" ca="1" si="9"/>
        <v>231.20135069260027</v>
      </c>
      <c r="R14" s="212">
        <f t="shared" ca="1" si="9"/>
        <v>232.82763727522465</v>
      </c>
      <c r="S14" s="212">
        <f t="shared" ca="1" si="9"/>
        <v>234.46536327219889</v>
      </c>
      <c r="T14" s="212">
        <f t="shared" ca="1" si="9"/>
        <v>236.11460914916915</v>
      </c>
      <c r="U14" s="212">
        <f t="shared" ca="1" si="9"/>
        <v>237.7754559377826</v>
      </c>
      <c r="V14" s="212">
        <f t="shared" ca="1" si="9"/>
        <v>239.44798523966872</v>
      </c>
      <c r="W14" s="212">
        <f t="shared" ca="1" si="9"/>
        <v>241.1322792304484</v>
      </c>
      <c r="X14" s="213">
        <f t="shared" ca="1" si="9"/>
        <v>242.82842066377211</v>
      </c>
      <c r="Y14" s="213">
        <f t="shared" ca="1" si="9"/>
        <v>244.53649287538479</v>
      </c>
      <c r="Z14" s="213">
        <f t="shared" ca="1" si="9"/>
        <v>246.25657978722131</v>
      </c>
      <c r="AA14" s="213">
        <f t="shared" ca="1" si="9"/>
        <v>247.98876591152904</v>
      </c>
      <c r="AB14" s="213">
        <f t="shared" ca="1" si="9"/>
        <v>249.73313635502055</v>
      </c>
      <c r="AC14" s="212">
        <f t="shared" ca="1" si="9"/>
        <v>251.48977682305511</v>
      </c>
      <c r="AD14" s="212">
        <f t="shared" ca="1" si="9"/>
        <v>253.25877362384944</v>
      </c>
      <c r="AE14" s="212">
        <f t="shared" ca="1" si="9"/>
        <v>255.04021367271829</v>
      </c>
      <c r="AF14" s="212">
        <f t="shared" ca="1" si="9"/>
        <v>256.83418449634496</v>
      </c>
      <c r="AG14" s="212">
        <f t="shared" ca="1" si="9"/>
        <v>258.64077423708153</v>
      </c>
      <c r="AH14" s="212">
        <f t="shared" ca="1" si="9"/>
        <v>260.46007165727951</v>
      </c>
      <c r="AI14" s="212">
        <f t="shared" ca="1" si="9"/>
        <v>262.29216614365129</v>
      </c>
      <c r="AJ14" s="213">
        <f t="shared" ca="1" si="9"/>
        <v>264.1371477116615</v>
      </c>
      <c r="AK14" s="213">
        <f t="shared" ca="1" si="9"/>
        <v>265.99510700994983</v>
      </c>
      <c r="AL14" s="213">
        <f t="shared" ca="1" si="9"/>
        <v>267.8661353247852</v>
      </c>
      <c r="AM14" s="213">
        <f t="shared" ca="1" si="9"/>
        <v>269.75032458455007</v>
      </c>
      <c r="AN14" s="213">
        <f t="shared" ca="1" si="9"/>
        <v>271.64776736425819</v>
      </c>
      <c r="AO14" s="212">
        <f t="shared" ca="1" si="9"/>
        <v>273.55855689010201</v>
      </c>
      <c r="AP14" s="212">
        <f t="shared" ca="1" si="9"/>
        <v>275.48278704403378</v>
      </c>
      <c r="AQ14" s="212">
        <f t="shared" ca="1" si="9"/>
        <v>277.42055236837808</v>
      </c>
      <c r="AR14" s="212">
        <f t="shared" ref="AR14:BR14" ca="1" si="10">TermsCollect30*AQ12</f>
        <v>279.37194807047661</v>
      </c>
      <c r="AS14" s="212">
        <f t="shared" ca="1" si="10"/>
        <v>281.33707002736662</v>
      </c>
      <c r="AT14" s="212">
        <f t="shared" ca="1" si="10"/>
        <v>283.31601479049084</v>
      </c>
      <c r="AU14" s="212">
        <f t="shared" ca="1" si="10"/>
        <v>285.30887959044173</v>
      </c>
      <c r="AV14" s="213">
        <f t="shared" ca="1" si="10"/>
        <v>287.31576234173866</v>
      </c>
      <c r="AW14" s="213">
        <f t="shared" ca="1" si="10"/>
        <v>289.33676164763858</v>
      </c>
      <c r="AX14" s="213">
        <f t="shared" ca="1" si="10"/>
        <v>291.3719768049807</v>
      </c>
      <c r="AY14" s="213">
        <f t="shared" ca="1" si="10"/>
        <v>293.42150780906508</v>
      </c>
      <c r="AZ14" s="213">
        <f t="shared" ca="1" si="10"/>
        <v>295.48545535856601</v>
      </c>
      <c r="BA14" s="212">
        <f t="shared" ca="1" si="10"/>
        <v>297.56392086047919</v>
      </c>
      <c r="BB14" s="212">
        <f t="shared" ca="1" si="10"/>
        <v>299.65700643510422</v>
      </c>
      <c r="BC14" s="212">
        <f t="shared" ca="1" si="10"/>
        <v>301.76481492106205</v>
      </c>
      <c r="BD14" s="212">
        <f t="shared" ca="1" si="10"/>
        <v>303.88744988034807</v>
      </c>
      <c r="BE14" s="212">
        <f t="shared" ca="1" si="10"/>
        <v>306.02501560341966</v>
      </c>
      <c r="BF14" s="212">
        <f t="shared" ca="1" si="10"/>
        <v>308.17761711432075</v>
      </c>
      <c r="BG14" s="212">
        <f t="shared" ca="1" si="10"/>
        <v>310.34536017584179</v>
      </c>
      <c r="BH14" s="213">
        <f t="shared" ca="1" si="10"/>
        <v>312.52835129471612</v>
      </c>
      <c r="BI14" s="213">
        <f t="shared" ca="1" si="10"/>
        <v>314.72669772685305</v>
      </c>
      <c r="BJ14" s="213">
        <f t="shared" ca="1" si="10"/>
        <v>316.94050748260742</v>
      </c>
      <c r="BK14" s="213">
        <f t="shared" ca="1" si="10"/>
        <v>319.16988933208637</v>
      </c>
      <c r="BL14" s="213">
        <f t="shared" ca="1" si="10"/>
        <v>321.41495281049407</v>
      </c>
      <c r="BM14" s="212">
        <f t="shared" ca="1" si="10"/>
        <v>323.6758082235126</v>
      </c>
      <c r="BN14" s="212">
        <f t="shared" ca="1" si="10"/>
        <v>325.95256665272211</v>
      </c>
      <c r="BO14" s="212">
        <f t="shared" ca="1" si="10"/>
        <v>328.24533996105845</v>
      </c>
      <c r="BP14" s="212">
        <f t="shared" ca="1" si="10"/>
        <v>330.55424079830908</v>
      </c>
      <c r="BQ14" s="212">
        <f t="shared" ca="1" si="10"/>
        <v>332.87938260664839</v>
      </c>
      <c r="BR14" s="212">
        <f t="shared" ca="1" si="10"/>
        <v>335.22087962621072</v>
      </c>
    </row>
    <row r="15" spans="1:70" ht="13.2" hidden="1" x14ac:dyDescent="0.3">
      <c r="C15" s="272" t="s">
        <v>233</v>
      </c>
      <c r="D15" s="14"/>
      <c r="E15" s="212">
        <f t="shared" ca="1" si="1"/>
        <v>1843.5133507574642</v>
      </c>
      <c r="F15" s="212">
        <f t="shared" ca="1" si="2"/>
        <v>2389.7499063328751</v>
      </c>
      <c r="G15" s="212">
        <f t="shared" ca="1" si="3"/>
        <v>2599.4557073571946</v>
      </c>
      <c r="H15" s="212">
        <f t="shared" ca="1" si="4"/>
        <v>2827.5636528346686</v>
      </c>
      <c r="I15" s="212">
        <f t="shared" ca="1" si="5"/>
        <v>3075.6885713433362</v>
      </c>
      <c r="J15" s="248"/>
      <c r="K15" s="213"/>
      <c r="L15" s="213"/>
      <c r="M15" s="213">
        <f t="shared" ref="M15:AR15" ca="1" si="11">TermsCollect60*K12</f>
        <v>178.59098545708588</v>
      </c>
      <c r="N15" s="213">
        <f t="shared" ca="1" si="11"/>
        <v>179.84720702567301</v>
      </c>
      <c r="O15" s="213">
        <f t="shared" ca="1" si="11"/>
        <v>181.1122649452403</v>
      </c>
      <c r="P15" s="213">
        <f t="shared" ca="1" si="11"/>
        <v>182.38622137130275</v>
      </c>
      <c r="Q15" s="213">
        <f t="shared" ca="1" si="11"/>
        <v>183.66913889658176</v>
      </c>
      <c r="R15" s="213">
        <f t="shared" ca="1" si="11"/>
        <v>184.96108055408024</v>
      </c>
      <c r="S15" s="213">
        <f t="shared" ca="1" si="11"/>
        <v>186.26210982017972</v>
      </c>
      <c r="T15" s="213">
        <f t="shared" ca="1" si="11"/>
        <v>187.57229061775911</v>
      </c>
      <c r="U15" s="213">
        <f t="shared" ca="1" si="11"/>
        <v>188.89168731933535</v>
      </c>
      <c r="V15" s="212">
        <f t="shared" ca="1" si="11"/>
        <v>190.22036475022608</v>
      </c>
      <c r="W15" s="213">
        <f t="shared" ca="1" si="11"/>
        <v>191.55838819173499</v>
      </c>
      <c r="X15" s="213">
        <f t="shared" ca="1" si="11"/>
        <v>192.90582338435874</v>
      </c>
      <c r="Y15" s="213">
        <f t="shared" ca="1" si="11"/>
        <v>194.26273653101771</v>
      </c>
      <c r="Z15" s="213">
        <f t="shared" ca="1" si="11"/>
        <v>195.62919430030786</v>
      </c>
      <c r="AA15" s="213">
        <f t="shared" ca="1" si="11"/>
        <v>197.00526382977705</v>
      </c>
      <c r="AB15" s="213">
        <f t="shared" ca="1" si="11"/>
        <v>198.39101272922323</v>
      </c>
      <c r="AC15" s="213">
        <f t="shared" ca="1" si="11"/>
        <v>199.78650908401644</v>
      </c>
      <c r="AD15" s="213">
        <f t="shared" ca="1" si="11"/>
        <v>201.19182145844411</v>
      </c>
      <c r="AE15" s="213">
        <f t="shared" ca="1" si="11"/>
        <v>202.60701889907955</v>
      </c>
      <c r="AF15" s="213">
        <f t="shared" ca="1" si="11"/>
        <v>204.03217093817466</v>
      </c>
      <c r="AG15" s="213">
        <f t="shared" ca="1" si="11"/>
        <v>205.46734759707599</v>
      </c>
      <c r="AH15" s="212">
        <f t="shared" ca="1" si="11"/>
        <v>206.91261938966522</v>
      </c>
      <c r="AI15" s="213">
        <f t="shared" ca="1" si="11"/>
        <v>208.36805732582363</v>
      </c>
      <c r="AJ15" s="213">
        <f t="shared" ca="1" si="11"/>
        <v>209.83373291492103</v>
      </c>
      <c r="AK15" s="213">
        <f t="shared" ca="1" si="11"/>
        <v>211.30971816932922</v>
      </c>
      <c r="AL15" s="213">
        <f t="shared" ca="1" si="11"/>
        <v>212.79608560795987</v>
      </c>
      <c r="AM15" s="213">
        <f t="shared" ca="1" si="11"/>
        <v>214.29290825982818</v>
      </c>
      <c r="AN15" s="213">
        <f t="shared" ca="1" si="11"/>
        <v>215.80025966764006</v>
      </c>
      <c r="AO15" s="213">
        <f t="shared" ca="1" si="11"/>
        <v>217.31821389140657</v>
      </c>
      <c r="AP15" s="213">
        <f t="shared" ca="1" si="11"/>
        <v>218.84684551208161</v>
      </c>
      <c r="AQ15" s="213">
        <f t="shared" ca="1" si="11"/>
        <v>220.38622963522704</v>
      </c>
      <c r="AR15" s="213">
        <f t="shared" ca="1" si="11"/>
        <v>221.93644189470248</v>
      </c>
      <c r="AS15" s="213">
        <f t="shared" ref="AS15:BR15" ca="1" si="12">TermsCollect60*AQ12</f>
        <v>223.49755845638128</v>
      </c>
      <c r="AT15" s="212">
        <f t="shared" ca="1" si="12"/>
        <v>225.06965602189331</v>
      </c>
      <c r="AU15" s="213">
        <f t="shared" ca="1" si="12"/>
        <v>226.65281183239267</v>
      </c>
      <c r="AV15" s="213">
        <f t="shared" ca="1" si="12"/>
        <v>228.2471036723534</v>
      </c>
      <c r="AW15" s="213">
        <f t="shared" ca="1" si="12"/>
        <v>229.85260987339095</v>
      </c>
      <c r="AX15" s="213">
        <f t="shared" ca="1" si="12"/>
        <v>231.46940931811088</v>
      </c>
      <c r="AY15" s="213">
        <f t="shared" ca="1" si="12"/>
        <v>233.09758144398458</v>
      </c>
      <c r="AZ15" s="213">
        <f t="shared" ca="1" si="12"/>
        <v>234.73720624725206</v>
      </c>
      <c r="BA15" s="213">
        <f t="shared" ca="1" si="12"/>
        <v>236.38836428685283</v>
      </c>
      <c r="BB15" s="213">
        <f t="shared" ca="1" si="12"/>
        <v>238.05113668838337</v>
      </c>
      <c r="BC15" s="213">
        <f t="shared" ca="1" si="12"/>
        <v>239.72560514808339</v>
      </c>
      <c r="BD15" s="213">
        <f t="shared" ca="1" si="12"/>
        <v>241.41185193684964</v>
      </c>
      <c r="BE15" s="213">
        <f t="shared" ca="1" si="12"/>
        <v>243.10995990427847</v>
      </c>
      <c r="BF15" s="212">
        <f t="shared" ca="1" si="12"/>
        <v>244.82001248273573</v>
      </c>
      <c r="BG15" s="213">
        <f t="shared" ca="1" si="12"/>
        <v>246.54209369145661</v>
      </c>
      <c r="BH15" s="213">
        <f t="shared" ca="1" si="12"/>
        <v>248.27628814067344</v>
      </c>
      <c r="BI15" s="213">
        <f t="shared" ca="1" si="12"/>
        <v>250.02268103577291</v>
      </c>
      <c r="BJ15" s="213">
        <f t="shared" ca="1" si="12"/>
        <v>251.78135818148246</v>
      </c>
      <c r="BK15" s="213">
        <f t="shared" ca="1" si="12"/>
        <v>253.55240598608594</v>
      </c>
      <c r="BL15" s="213">
        <f t="shared" ca="1" si="12"/>
        <v>255.33591146566911</v>
      </c>
      <c r="BM15" s="213">
        <f t="shared" ca="1" si="12"/>
        <v>257.13196224839527</v>
      </c>
      <c r="BN15" s="213">
        <f t="shared" ca="1" si="12"/>
        <v>258.94064657881012</v>
      </c>
      <c r="BO15" s="213">
        <f t="shared" ca="1" si="12"/>
        <v>260.76205332217768</v>
      </c>
      <c r="BP15" s="213">
        <f t="shared" ca="1" si="12"/>
        <v>262.59627196884679</v>
      </c>
      <c r="BQ15" s="213">
        <f t="shared" ca="1" si="12"/>
        <v>264.44339263864725</v>
      </c>
      <c r="BR15" s="212">
        <f t="shared" ca="1" si="12"/>
        <v>266.3035060853187</v>
      </c>
    </row>
    <row r="16" spans="1:70" ht="13.2" hidden="1" x14ac:dyDescent="0.3">
      <c r="C16" s="273" t="s">
        <v>234</v>
      </c>
      <c r="D16" s="14"/>
      <c r="E16" s="274">
        <f t="shared" ca="1" si="1"/>
        <v>206.66162325090477</v>
      </c>
      <c r="F16" s="274">
        <f t="shared" ca="1" si="2"/>
        <v>296.63220646167952</v>
      </c>
      <c r="G16" s="274">
        <f t="shared" ca="1" si="3"/>
        <v>322.66233384062082</v>
      </c>
      <c r="H16" s="274">
        <f t="shared" ca="1" si="4"/>
        <v>350.97666204672822</v>
      </c>
      <c r="I16" s="274">
        <f t="shared" ca="1" si="5"/>
        <v>381.77563471759413</v>
      </c>
      <c r="J16" s="248"/>
      <c r="K16" s="275"/>
      <c r="L16" s="275"/>
      <c r="M16" s="275"/>
      <c r="N16" s="275">
        <f t="shared" ref="N16:AS16" ca="1" si="13">TermsCollect90*K12</f>
        <v>22.323873182135735</v>
      </c>
      <c r="O16" s="275">
        <f t="shared" ca="1" si="13"/>
        <v>22.480900878209127</v>
      </c>
      <c r="P16" s="275">
        <f t="shared" ca="1" si="13"/>
        <v>22.639033118155037</v>
      </c>
      <c r="Q16" s="275">
        <f t="shared" ca="1" si="13"/>
        <v>22.798277671412844</v>
      </c>
      <c r="R16" s="275">
        <f t="shared" ca="1" si="13"/>
        <v>22.95864236207272</v>
      </c>
      <c r="S16" s="275">
        <f t="shared" ca="1" si="13"/>
        <v>23.12013506926003</v>
      </c>
      <c r="T16" s="275">
        <f t="shared" ca="1" si="13"/>
        <v>23.282763727522465</v>
      </c>
      <c r="U16" s="275">
        <f t="shared" ca="1" si="13"/>
        <v>23.446536327219889</v>
      </c>
      <c r="V16" s="276">
        <f t="shared" ca="1" si="13"/>
        <v>23.611460914916918</v>
      </c>
      <c r="W16" s="275">
        <f t="shared" ca="1" si="13"/>
        <v>23.77754559377826</v>
      </c>
      <c r="X16" s="275">
        <f t="shared" ca="1" si="13"/>
        <v>23.944798523966874</v>
      </c>
      <c r="Y16" s="275">
        <f t="shared" ca="1" si="13"/>
        <v>24.113227923044843</v>
      </c>
      <c r="Z16" s="275">
        <f t="shared" ca="1" si="13"/>
        <v>24.282842066377214</v>
      </c>
      <c r="AA16" s="275">
        <f t="shared" ca="1" si="13"/>
        <v>24.453649287538482</v>
      </c>
      <c r="AB16" s="275">
        <f t="shared" ca="1" si="13"/>
        <v>24.625657978722131</v>
      </c>
      <c r="AC16" s="275">
        <f t="shared" ca="1" si="13"/>
        <v>24.798876591152904</v>
      </c>
      <c r="AD16" s="275">
        <f t="shared" ca="1" si="13"/>
        <v>24.973313635502056</v>
      </c>
      <c r="AE16" s="275">
        <f t="shared" ca="1" si="13"/>
        <v>25.148977682305514</v>
      </c>
      <c r="AF16" s="275">
        <f t="shared" ca="1" si="13"/>
        <v>25.325877362384944</v>
      </c>
      <c r="AG16" s="275">
        <f t="shared" ca="1" si="13"/>
        <v>25.504021367271832</v>
      </c>
      <c r="AH16" s="276">
        <f t="shared" ca="1" si="13"/>
        <v>25.683418449634498</v>
      </c>
      <c r="AI16" s="275">
        <f t="shared" ca="1" si="13"/>
        <v>25.864077423708153</v>
      </c>
      <c r="AJ16" s="275">
        <f t="shared" ca="1" si="13"/>
        <v>26.046007165727953</v>
      </c>
      <c r="AK16" s="275">
        <f t="shared" ca="1" si="13"/>
        <v>26.229216614365129</v>
      </c>
      <c r="AL16" s="275">
        <f t="shared" ca="1" si="13"/>
        <v>26.413714771166152</v>
      </c>
      <c r="AM16" s="275">
        <f t="shared" ca="1" si="13"/>
        <v>26.599510700994983</v>
      </c>
      <c r="AN16" s="275">
        <f t="shared" ca="1" si="13"/>
        <v>26.786613532478523</v>
      </c>
      <c r="AO16" s="275">
        <f t="shared" ca="1" si="13"/>
        <v>26.975032458455008</v>
      </c>
      <c r="AP16" s="275">
        <f t="shared" ca="1" si="13"/>
        <v>27.164776736425821</v>
      </c>
      <c r="AQ16" s="275">
        <f t="shared" ca="1" si="13"/>
        <v>27.355855689010202</v>
      </c>
      <c r="AR16" s="275">
        <f t="shared" ca="1" si="13"/>
        <v>27.54827870440338</v>
      </c>
      <c r="AS16" s="275">
        <f t="shared" ca="1" si="13"/>
        <v>27.74205523683781</v>
      </c>
      <c r="AT16" s="276">
        <f t="shared" ref="AT16:BR16" ca="1" si="14">TermsCollect90*AQ12</f>
        <v>27.937194807047661</v>
      </c>
      <c r="AU16" s="275">
        <f t="shared" ca="1" si="14"/>
        <v>28.133707002736664</v>
      </c>
      <c r="AV16" s="275">
        <f t="shared" ca="1" si="14"/>
        <v>28.331601479049084</v>
      </c>
      <c r="AW16" s="275">
        <f t="shared" ca="1" si="14"/>
        <v>28.530887959044176</v>
      </c>
      <c r="AX16" s="275">
        <f t="shared" ca="1" si="14"/>
        <v>28.731576234173868</v>
      </c>
      <c r="AY16" s="275">
        <f t="shared" ca="1" si="14"/>
        <v>28.93367616476386</v>
      </c>
      <c r="AZ16" s="275">
        <f t="shared" ca="1" si="14"/>
        <v>29.137197680498073</v>
      </c>
      <c r="BA16" s="275">
        <f t="shared" ca="1" si="14"/>
        <v>29.342150780906508</v>
      </c>
      <c r="BB16" s="275">
        <f t="shared" ca="1" si="14"/>
        <v>29.548545535856604</v>
      </c>
      <c r="BC16" s="275">
        <f t="shared" ca="1" si="14"/>
        <v>29.756392086047921</v>
      </c>
      <c r="BD16" s="275">
        <f t="shared" ca="1" si="14"/>
        <v>29.965700643510424</v>
      </c>
      <c r="BE16" s="275">
        <f t="shared" ca="1" si="14"/>
        <v>30.176481492106205</v>
      </c>
      <c r="BF16" s="276">
        <f t="shared" ca="1" si="14"/>
        <v>30.388744988034809</v>
      </c>
      <c r="BG16" s="275">
        <f t="shared" ca="1" si="14"/>
        <v>30.602501560341967</v>
      </c>
      <c r="BH16" s="275">
        <f t="shared" ca="1" si="14"/>
        <v>30.817761711432077</v>
      </c>
      <c r="BI16" s="275">
        <f t="shared" ca="1" si="14"/>
        <v>31.03453601758418</v>
      </c>
      <c r="BJ16" s="275">
        <f t="shared" ca="1" si="14"/>
        <v>31.252835129471613</v>
      </c>
      <c r="BK16" s="275">
        <f t="shared" ca="1" si="14"/>
        <v>31.472669772685308</v>
      </c>
      <c r="BL16" s="275">
        <f t="shared" ca="1" si="14"/>
        <v>31.694050748260743</v>
      </c>
      <c r="BM16" s="275">
        <f t="shared" ca="1" si="14"/>
        <v>31.916988933208639</v>
      </c>
      <c r="BN16" s="275">
        <f t="shared" ca="1" si="14"/>
        <v>32.141495281049409</v>
      </c>
      <c r="BO16" s="275">
        <f t="shared" ca="1" si="14"/>
        <v>32.367580822351265</v>
      </c>
      <c r="BP16" s="275">
        <f t="shared" ca="1" si="14"/>
        <v>32.59525666527221</v>
      </c>
      <c r="BQ16" s="275">
        <f t="shared" ca="1" si="14"/>
        <v>32.824533996105849</v>
      </c>
      <c r="BR16" s="276">
        <f t="shared" ca="1" si="14"/>
        <v>33.055424079830907</v>
      </c>
    </row>
    <row r="17" spans="1:70" ht="13.2" x14ac:dyDescent="0.3">
      <c r="B17" s="34"/>
      <c r="C17" s="185" t="s">
        <v>235</v>
      </c>
      <c r="D17" s="14"/>
      <c r="E17" s="211">
        <f t="shared" ca="1" si="1"/>
        <v>4594.0146476948676</v>
      </c>
      <c r="F17" s="211">
        <f t="shared" ca="1" si="2"/>
        <v>5694.5815821282613</v>
      </c>
      <c r="G17" s="211">
        <f t="shared" ca="1" si="3"/>
        <v>6194.2936185275184</v>
      </c>
      <c r="H17" s="211">
        <f t="shared" ca="1" si="4"/>
        <v>6737.8564832485608</v>
      </c>
      <c r="I17" s="211">
        <f t="shared" ca="1" si="5"/>
        <v>7329.1181827519904</v>
      </c>
      <c r="J17" s="248"/>
      <c r="K17" s="212">
        <f>SUM(K14:K16)</f>
        <v>0</v>
      </c>
      <c r="L17" s="213">
        <f t="shared" ref="L17:BR17" ca="1" si="15">SUM(L14:L16)</f>
        <v>223.23873182135733</v>
      </c>
      <c r="M17" s="213">
        <f t="shared" ca="1" si="15"/>
        <v>403.39999423917715</v>
      </c>
      <c r="N17" s="213">
        <f t="shared" ca="1" si="15"/>
        <v>428.56141138935908</v>
      </c>
      <c r="O17" s="213">
        <f t="shared" ca="1" si="15"/>
        <v>431.57594253757782</v>
      </c>
      <c r="P17" s="213">
        <f t="shared" ca="1" si="15"/>
        <v>434.61167811018498</v>
      </c>
      <c r="Q17" s="212">
        <f t="shared" ca="1" si="15"/>
        <v>437.6687672605949</v>
      </c>
      <c r="R17" s="212">
        <f t="shared" ca="1" si="15"/>
        <v>440.74736019137765</v>
      </c>
      <c r="S17" s="212">
        <f t="shared" ca="1" si="15"/>
        <v>443.84760816163862</v>
      </c>
      <c r="T17" s="212">
        <f t="shared" ca="1" si="15"/>
        <v>446.96966349445074</v>
      </c>
      <c r="U17" s="212">
        <f t="shared" ca="1" si="15"/>
        <v>450.11367958433777</v>
      </c>
      <c r="V17" s="211">
        <f t="shared" ca="1" si="15"/>
        <v>453.27981090481171</v>
      </c>
      <c r="W17" s="212">
        <f t="shared" ca="1" si="15"/>
        <v>456.46821301596168</v>
      </c>
      <c r="X17" s="213">
        <f t="shared" ca="1" si="15"/>
        <v>459.67904257209773</v>
      </c>
      <c r="Y17" s="213">
        <f t="shared" ca="1" si="15"/>
        <v>462.91245732944736</v>
      </c>
      <c r="Z17" s="213">
        <f t="shared" ca="1" si="15"/>
        <v>466.16861615390638</v>
      </c>
      <c r="AA17" s="213">
        <f t="shared" ca="1" si="15"/>
        <v>469.44767902884462</v>
      </c>
      <c r="AB17" s="213">
        <f t="shared" ca="1" si="15"/>
        <v>472.74980706296589</v>
      </c>
      <c r="AC17" s="212">
        <f t="shared" ca="1" si="15"/>
        <v>476.07516249822447</v>
      </c>
      <c r="AD17" s="212">
        <f t="shared" ca="1" si="15"/>
        <v>479.4239087177956</v>
      </c>
      <c r="AE17" s="212">
        <f t="shared" ca="1" si="15"/>
        <v>482.79621025410336</v>
      </c>
      <c r="AF17" s="212">
        <f t="shared" ca="1" si="15"/>
        <v>486.19223279690459</v>
      </c>
      <c r="AG17" s="212">
        <f t="shared" ca="1" si="15"/>
        <v>489.61214320142932</v>
      </c>
      <c r="AH17" s="211">
        <f t="shared" ca="1" si="15"/>
        <v>493.05610949657921</v>
      </c>
      <c r="AI17" s="212">
        <f t="shared" ca="1" si="15"/>
        <v>496.52430089318307</v>
      </c>
      <c r="AJ17" s="213">
        <f t="shared" ca="1" si="15"/>
        <v>500.01688779231046</v>
      </c>
      <c r="AK17" s="213">
        <f t="shared" ca="1" si="15"/>
        <v>503.53404179364418</v>
      </c>
      <c r="AL17" s="213">
        <f t="shared" ca="1" si="15"/>
        <v>507.07593570391123</v>
      </c>
      <c r="AM17" s="213">
        <f t="shared" ca="1" si="15"/>
        <v>510.64274354537326</v>
      </c>
      <c r="AN17" s="213">
        <f t="shared" ca="1" si="15"/>
        <v>514.23464056437683</v>
      </c>
      <c r="AO17" s="212">
        <f t="shared" ca="1" si="15"/>
        <v>517.8518032399636</v>
      </c>
      <c r="AP17" s="212">
        <f t="shared" ca="1" si="15"/>
        <v>521.49440929254115</v>
      </c>
      <c r="AQ17" s="212">
        <f t="shared" ca="1" si="15"/>
        <v>525.16263769261536</v>
      </c>
      <c r="AR17" s="212">
        <f t="shared" ca="1" si="15"/>
        <v>528.85666866958252</v>
      </c>
      <c r="AS17" s="212">
        <f t="shared" ca="1" si="15"/>
        <v>532.57668372058572</v>
      </c>
      <c r="AT17" s="211">
        <f t="shared" ca="1" si="15"/>
        <v>536.32286561943181</v>
      </c>
      <c r="AU17" s="212">
        <f t="shared" ca="1" si="15"/>
        <v>540.09539842557103</v>
      </c>
      <c r="AV17" s="213">
        <f t="shared" ca="1" si="15"/>
        <v>543.89446749314106</v>
      </c>
      <c r="AW17" s="213">
        <f t="shared" ca="1" si="15"/>
        <v>547.72025948007376</v>
      </c>
      <c r="AX17" s="213">
        <f t="shared" ca="1" si="15"/>
        <v>551.5729623572654</v>
      </c>
      <c r="AY17" s="213">
        <f t="shared" ca="1" si="15"/>
        <v>555.45276541781345</v>
      </c>
      <c r="AZ17" s="213">
        <f t="shared" ca="1" si="15"/>
        <v>559.35985928631612</v>
      </c>
      <c r="BA17" s="212">
        <f t="shared" ca="1" si="15"/>
        <v>563.29443592823861</v>
      </c>
      <c r="BB17" s="212">
        <f t="shared" ca="1" si="15"/>
        <v>567.25668865934426</v>
      </c>
      <c r="BC17" s="212">
        <f t="shared" ca="1" si="15"/>
        <v>571.24681215519331</v>
      </c>
      <c r="BD17" s="212">
        <f t="shared" ca="1" si="15"/>
        <v>575.26500246070816</v>
      </c>
      <c r="BE17" s="212">
        <f t="shared" ca="1" si="15"/>
        <v>579.31145699980425</v>
      </c>
      <c r="BF17" s="211">
        <f t="shared" ca="1" si="15"/>
        <v>583.38637458509129</v>
      </c>
      <c r="BG17" s="212">
        <f t="shared" ca="1" si="15"/>
        <v>587.48995542764033</v>
      </c>
      <c r="BH17" s="213">
        <f t="shared" ca="1" si="15"/>
        <v>591.62240114682174</v>
      </c>
      <c r="BI17" s="213">
        <f t="shared" ca="1" si="15"/>
        <v>595.78391478021013</v>
      </c>
      <c r="BJ17" s="213">
        <f t="shared" ca="1" si="15"/>
        <v>599.9747007935614</v>
      </c>
      <c r="BK17" s="213">
        <f t="shared" ca="1" si="15"/>
        <v>604.19496509085764</v>
      </c>
      <c r="BL17" s="213">
        <f t="shared" ca="1" si="15"/>
        <v>608.44491502442395</v>
      </c>
      <c r="BM17" s="212">
        <f t="shared" ca="1" si="15"/>
        <v>612.7247594051164</v>
      </c>
      <c r="BN17" s="212">
        <f t="shared" ca="1" si="15"/>
        <v>617.03470851258157</v>
      </c>
      <c r="BO17" s="212">
        <f t="shared" ca="1" si="15"/>
        <v>621.37497410558728</v>
      </c>
      <c r="BP17" s="212">
        <f t="shared" ca="1" si="15"/>
        <v>625.74576943242812</v>
      </c>
      <c r="BQ17" s="212">
        <f t="shared" ca="1" si="15"/>
        <v>630.14730924140144</v>
      </c>
      <c r="BR17" s="211">
        <f t="shared" ca="1" si="15"/>
        <v>634.57980979136039</v>
      </c>
    </row>
    <row r="18" spans="1:70" ht="13.2" x14ac:dyDescent="0.3">
      <c r="C18" s="240" t="s">
        <v>181</v>
      </c>
      <c r="D18" s="14"/>
      <c r="E18" s="211">
        <f ca="1">V18</f>
        <v>697.43206284733196</v>
      </c>
      <c r="F18" s="211">
        <f ca="1">AH18</f>
        <v>758.63325758819667</v>
      </c>
      <c r="G18" s="211">
        <f ca="1">AT18</f>
        <v>825.20499153601691</v>
      </c>
      <c r="H18" s="211">
        <f ca="1">BF18</f>
        <v>897.61854129732967</v>
      </c>
      <c r="I18" s="211">
        <f ca="1">BR18</f>
        <v>976.38653903559054</v>
      </c>
      <c r="J18" s="248"/>
      <c r="K18" s="213">
        <f ca="1">K12-SUM(K13,K17)</f>
        <v>424.15359046057893</v>
      </c>
      <c r="L18" s="213">
        <f t="shared" ref="L18:BR18" ca="1" si="16">K18+L12-SUM(L13,L17)</f>
        <v>628.05197532519503</v>
      </c>
      <c r="M18" s="213">
        <f t="shared" ca="1" si="16"/>
        <v>654.79361033096359</v>
      </c>
      <c r="N18" s="213">
        <f t="shared" ca="1" si="16"/>
        <v>659.39947469844856</v>
      </c>
      <c r="O18" s="213">
        <f t="shared" ca="1" si="16"/>
        <v>664.0377370402523</v>
      </c>
      <c r="P18" s="213">
        <f t="shared" ca="1" si="16"/>
        <v>668.70862524600784</v>
      </c>
      <c r="Q18" s="213">
        <f t="shared" ca="1" si="16"/>
        <v>673.41236880833981</v>
      </c>
      <c r="R18" s="213">
        <f t="shared" ca="1" si="16"/>
        <v>678.14919883414018</v>
      </c>
      <c r="S18" s="213">
        <f t="shared" ca="1" si="16"/>
        <v>682.91934805592291</v>
      </c>
      <c r="T18" s="213">
        <f t="shared" ca="1" si="16"/>
        <v>687.72305084325899</v>
      </c>
      <c r="U18" s="213">
        <f t="shared" ca="1" si="16"/>
        <v>692.56054321429178</v>
      </c>
      <c r="V18" s="211">
        <f t="shared" ca="1" si="16"/>
        <v>697.43206284733196</v>
      </c>
      <c r="W18" s="213">
        <f t="shared" ca="1" si="16"/>
        <v>702.33784909253734</v>
      </c>
      <c r="X18" s="213">
        <f t="shared" ca="1" si="16"/>
        <v>707.2781429836707</v>
      </c>
      <c r="Y18" s="213">
        <f t="shared" ca="1" si="16"/>
        <v>712.25318724994384</v>
      </c>
      <c r="Z18" s="213">
        <f t="shared" ca="1" si="16"/>
        <v>717.26322632794256</v>
      </c>
      <c r="AA18" s="213">
        <f t="shared" ca="1" si="16"/>
        <v>722.3085063736371</v>
      </c>
      <c r="AB18" s="213">
        <f t="shared" ca="1" si="16"/>
        <v>727.38927527447584</v>
      </c>
      <c r="AC18" s="213">
        <f t="shared" ca="1" si="16"/>
        <v>732.50578266156526</v>
      </c>
      <c r="AD18" s="213">
        <f t="shared" ca="1" si="16"/>
        <v>737.65827992193454</v>
      </c>
      <c r="AE18" s="213">
        <f t="shared" ca="1" si="16"/>
        <v>742.84702021088663</v>
      </c>
      <c r="AF18" s="213">
        <f t="shared" ca="1" si="16"/>
        <v>748.07225846443691</v>
      </c>
      <c r="AG18" s="213">
        <f t="shared" ca="1" si="16"/>
        <v>753.33425141183852</v>
      </c>
      <c r="AH18" s="211">
        <f t="shared" ca="1" si="16"/>
        <v>758.63325758819667</v>
      </c>
      <c r="AI18" s="213">
        <f t="shared" ca="1" si="16"/>
        <v>763.96953734717044</v>
      </c>
      <c r="AJ18" s="213">
        <f t="shared" ca="1" si="16"/>
        <v>769.34335287376462</v>
      </c>
      <c r="AK18" s="213">
        <f t="shared" ca="1" si="16"/>
        <v>774.75496819721229</v>
      </c>
      <c r="AL18" s="213">
        <f t="shared" ca="1" si="16"/>
        <v>780.20464920394625</v>
      </c>
      <c r="AM18" s="213">
        <f t="shared" ca="1" si="16"/>
        <v>785.69266365066369</v>
      </c>
      <c r="AN18" s="213">
        <f t="shared" ca="1" si="16"/>
        <v>791.21928117748053</v>
      </c>
      <c r="AO18" s="213">
        <f t="shared" ca="1" si="16"/>
        <v>796.78477332118109</v>
      </c>
      <c r="AP18" s="213">
        <f t="shared" ca="1" si="16"/>
        <v>802.38941352855841</v>
      </c>
      <c r="AQ18" s="213">
        <f t="shared" ca="1" si="16"/>
        <v>808.03347716984854</v>
      </c>
      <c r="AR18" s="213">
        <f t="shared" ca="1" si="16"/>
        <v>813.71724155226264</v>
      </c>
      <c r="AS18" s="213">
        <f t="shared" ca="1" si="16"/>
        <v>819.44098593360945</v>
      </c>
      <c r="AT18" s="211">
        <f t="shared" ca="1" si="16"/>
        <v>825.20499153601691</v>
      </c>
      <c r="AU18" s="213">
        <f t="shared" ca="1" si="16"/>
        <v>831.00954155974921</v>
      </c>
      <c r="AV18" s="213">
        <f t="shared" ca="1" si="16"/>
        <v>836.85492119712137</v>
      </c>
      <c r="AW18" s="213">
        <f t="shared" ca="1" si="16"/>
        <v>842.74141764651085</v>
      </c>
      <c r="AX18" s="213">
        <f t="shared" ca="1" si="16"/>
        <v>848.66932012646919</v>
      </c>
      <c r="AY18" s="213">
        <f t="shared" ca="1" si="16"/>
        <v>854.63891988993123</v>
      </c>
      <c r="AZ18" s="213">
        <f t="shared" ca="1" si="16"/>
        <v>860.65051023852573</v>
      </c>
      <c r="BA18" s="213">
        <f t="shared" ca="1" si="16"/>
        <v>866.70438653698523</v>
      </c>
      <c r="BB18" s="213">
        <f t="shared" ca="1" si="16"/>
        <v>872.80084622765889</v>
      </c>
      <c r="BC18" s="213">
        <f t="shared" ca="1" si="16"/>
        <v>878.94018884512695</v>
      </c>
      <c r="BD18" s="213">
        <f t="shared" ca="1" si="16"/>
        <v>885.12271603091631</v>
      </c>
      <c r="BE18" s="213">
        <f t="shared" ca="1" si="16"/>
        <v>891.34873154832155</v>
      </c>
      <c r="BF18" s="211">
        <f t="shared" ca="1" si="16"/>
        <v>897.61854129732967</v>
      </c>
      <c r="BG18" s="213">
        <f t="shared" ca="1" si="16"/>
        <v>903.93245332965012</v>
      </c>
      <c r="BH18" s="213">
        <f t="shared" ca="1" si="16"/>
        <v>910.29077786384926</v>
      </c>
      <c r="BI18" s="213">
        <f t="shared" ca="1" si="16"/>
        <v>916.69382730059317</v>
      </c>
      <c r="BJ18" s="213">
        <f t="shared" ca="1" si="16"/>
        <v>923.14191623799593</v>
      </c>
      <c r="BK18" s="213">
        <f t="shared" ca="1" si="16"/>
        <v>929.63536148707715</v>
      </c>
      <c r="BL18" s="213">
        <f t="shared" ca="1" si="16"/>
        <v>936.17448208732731</v>
      </c>
      <c r="BM18" s="213">
        <f t="shared" ca="1" si="16"/>
        <v>942.75959932238288</v>
      </c>
      <c r="BN18" s="213">
        <f t="shared" ca="1" si="16"/>
        <v>949.39103673581235</v>
      </c>
      <c r="BO18" s="213">
        <f t="shared" ca="1" si="16"/>
        <v>956.0691201470122</v>
      </c>
      <c r="BP18" s="213">
        <f t="shared" ca="1" si="16"/>
        <v>962.79417766721599</v>
      </c>
      <c r="BQ18" s="213">
        <f t="shared" ca="1" si="16"/>
        <v>969.56653971561491</v>
      </c>
      <c r="BR18" s="211">
        <f t="shared" ca="1" si="16"/>
        <v>976.38653903559054</v>
      </c>
    </row>
    <row r="19" spans="1:70" ht="13.2" x14ac:dyDescent="0.3">
      <c r="B19" s="14"/>
      <c r="C19" s="204" t="s">
        <v>186</v>
      </c>
      <c r="D19" s="14"/>
      <c r="E19" s="234">
        <f t="shared" ref="E19:E26" si="17">SUM(K19:V19)</f>
        <v>18</v>
      </c>
      <c r="F19" s="234">
        <f t="shared" ref="F19:F26" si="18">SUM(W19:AH19)</f>
        <v>0</v>
      </c>
      <c r="G19" s="234">
        <f t="shared" ref="G19:G26" si="19">SUM(AI19:AT19)</f>
        <v>0</v>
      </c>
      <c r="H19" s="234">
        <f t="shared" ref="H19:H26" si="20">SUM(AU19:BF19)</f>
        <v>0</v>
      </c>
      <c r="I19" s="234">
        <f t="shared" ref="I19:I26" si="21">SUM(BG19:BR19)</f>
        <v>60</v>
      </c>
      <c r="J19" s="248"/>
      <c r="K19" s="226">
        <f>CapEx!K44</f>
        <v>0</v>
      </c>
      <c r="L19" s="226">
        <f>CapEx!L44</f>
        <v>0</v>
      </c>
      <c r="M19" s="226">
        <f>CapEx!M44</f>
        <v>0</v>
      </c>
      <c r="N19" s="226">
        <f>CapEx!N44</f>
        <v>0</v>
      </c>
      <c r="O19" s="226">
        <f>CapEx!O44</f>
        <v>0</v>
      </c>
      <c r="P19" s="226">
        <f>CapEx!P44</f>
        <v>0</v>
      </c>
      <c r="Q19" s="226">
        <f>CapEx!Q44</f>
        <v>0</v>
      </c>
      <c r="R19" s="226">
        <f>CapEx!R44</f>
        <v>0</v>
      </c>
      <c r="S19" s="226">
        <f>CapEx!S44</f>
        <v>0</v>
      </c>
      <c r="T19" s="226">
        <f>CapEx!T44</f>
        <v>0</v>
      </c>
      <c r="U19" s="226">
        <f>CapEx!U44</f>
        <v>0</v>
      </c>
      <c r="V19" s="247">
        <f>CapEx!V44</f>
        <v>18</v>
      </c>
      <c r="W19" s="226">
        <f>CapEx!W44</f>
        <v>0</v>
      </c>
      <c r="X19" s="226">
        <f>CapEx!X44</f>
        <v>0</v>
      </c>
      <c r="Y19" s="226">
        <f>CapEx!Y44</f>
        <v>0</v>
      </c>
      <c r="Z19" s="226">
        <f>CapEx!Z44</f>
        <v>0</v>
      </c>
      <c r="AA19" s="226">
        <f>CapEx!AA44</f>
        <v>0</v>
      </c>
      <c r="AB19" s="226">
        <f>CapEx!AB44</f>
        <v>0</v>
      </c>
      <c r="AC19" s="226">
        <f>CapEx!AC44</f>
        <v>0</v>
      </c>
      <c r="AD19" s="226">
        <f>CapEx!AD44</f>
        <v>0</v>
      </c>
      <c r="AE19" s="226">
        <f>CapEx!AE44</f>
        <v>0</v>
      </c>
      <c r="AF19" s="226">
        <f>CapEx!AF44</f>
        <v>0</v>
      </c>
      <c r="AG19" s="226">
        <f>CapEx!AG44</f>
        <v>0</v>
      </c>
      <c r="AH19" s="247">
        <f>CapEx!AH44</f>
        <v>0</v>
      </c>
      <c r="AI19" s="226">
        <f>CapEx!AI44</f>
        <v>0</v>
      </c>
      <c r="AJ19" s="226">
        <f>CapEx!AJ44</f>
        <v>0</v>
      </c>
      <c r="AK19" s="226">
        <f>CapEx!AK44</f>
        <v>0</v>
      </c>
      <c r="AL19" s="226">
        <f>CapEx!AL44</f>
        <v>0</v>
      </c>
      <c r="AM19" s="226">
        <f>CapEx!AM44</f>
        <v>0</v>
      </c>
      <c r="AN19" s="226">
        <f>CapEx!AN44</f>
        <v>0</v>
      </c>
      <c r="AO19" s="226">
        <f>CapEx!AO44</f>
        <v>0</v>
      </c>
      <c r="AP19" s="226">
        <f>CapEx!AP44</f>
        <v>0</v>
      </c>
      <c r="AQ19" s="226">
        <f>CapEx!AQ44</f>
        <v>0</v>
      </c>
      <c r="AR19" s="226">
        <f>CapEx!AR44</f>
        <v>0</v>
      </c>
      <c r="AS19" s="226">
        <f>CapEx!AS44</f>
        <v>0</v>
      </c>
      <c r="AT19" s="247">
        <f>CapEx!AT44</f>
        <v>0</v>
      </c>
      <c r="AU19" s="226">
        <f>CapEx!AU44</f>
        <v>0</v>
      </c>
      <c r="AV19" s="226">
        <f>CapEx!AV44</f>
        <v>0</v>
      </c>
      <c r="AW19" s="226">
        <f>CapEx!AW44</f>
        <v>0</v>
      </c>
      <c r="AX19" s="226">
        <f>CapEx!AX44</f>
        <v>0</v>
      </c>
      <c r="AY19" s="226">
        <f>CapEx!AY44</f>
        <v>0</v>
      </c>
      <c r="AZ19" s="226">
        <f>CapEx!AZ44</f>
        <v>0</v>
      </c>
      <c r="BA19" s="226">
        <f>CapEx!BA44</f>
        <v>0</v>
      </c>
      <c r="BB19" s="226">
        <f>CapEx!BB44</f>
        <v>0</v>
      </c>
      <c r="BC19" s="226">
        <f>CapEx!BC44</f>
        <v>0</v>
      </c>
      <c r="BD19" s="226">
        <f>CapEx!BD44</f>
        <v>0</v>
      </c>
      <c r="BE19" s="226">
        <f>CapEx!BE44</f>
        <v>0</v>
      </c>
      <c r="BF19" s="247">
        <f>CapEx!BF44</f>
        <v>0</v>
      </c>
      <c r="BG19" s="226">
        <f>CapEx!BG44</f>
        <v>0</v>
      </c>
      <c r="BH19" s="226">
        <f>CapEx!BH44</f>
        <v>0</v>
      </c>
      <c r="BI19" s="226">
        <f>CapEx!BI44</f>
        <v>0</v>
      </c>
      <c r="BJ19" s="226">
        <f>CapEx!BJ44</f>
        <v>0</v>
      </c>
      <c r="BK19" s="226">
        <f>CapEx!BK44</f>
        <v>0</v>
      </c>
      <c r="BL19" s="226">
        <f>CapEx!BL44</f>
        <v>0</v>
      </c>
      <c r="BM19" s="226">
        <f>CapEx!BM44</f>
        <v>15</v>
      </c>
      <c r="BN19" s="226">
        <f>CapEx!BN44</f>
        <v>0</v>
      </c>
      <c r="BO19" s="226">
        <f>CapEx!BO44</f>
        <v>0</v>
      </c>
      <c r="BP19" s="226">
        <f>CapEx!BP44</f>
        <v>45</v>
      </c>
      <c r="BQ19" s="226">
        <f>CapEx!BQ44</f>
        <v>0</v>
      </c>
      <c r="BR19" s="247">
        <f>CapEx!BR44</f>
        <v>0</v>
      </c>
    </row>
    <row r="20" spans="1:70" s="197" customFormat="1" ht="13.2" x14ac:dyDescent="0.3">
      <c r="A20" s="270"/>
      <c r="C20" s="175" t="s">
        <v>236</v>
      </c>
      <c r="D20" s="175"/>
      <c r="E20" s="222">
        <f t="shared" ca="1" si="17"/>
        <v>4940.5118429865624</v>
      </c>
      <c r="F20" s="222">
        <f t="shared" ca="1" si="18"/>
        <v>6107.51751775295</v>
      </c>
      <c r="G20" s="222">
        <f t="shared" ca="1" si="19"/>
        <v>6523.8128476051679</v>
      </c>
      <c r="H20" s="222">
        <f t="shared" ca="1" si="20"/>
        <v>7096.2917481438171</v>
      </c>
      <c r="I20" s="222">
        <f t="shared" ca="1" si="21"/>
        <v>7779.0069290935817</v>
      </c>
      <c r="J20" s="277"/>
      <c r="K20" s="223">
        <f ca="1">SUM(K11,K13,K17,K19)</f>
        <v>22.323873182135735</v>
      </c>
      <c r="L20" s="223">
        <f t="shared" ref="L20:BR20" ca="1" si="22">SUM(L11,L13,L17,L19)</f>
        <v>245.71963269956646</v>
      </c>
      <c r="M20" s="223">
        <f t="shared" ca="1" si="22"/>
        <v>426.0390273573322</v>
      </c>
      <c r="N20" s="223">
        <f t="shared" ca="1" si="22"/>
        <v>451.35968906077193</v>
      </c>
      <c r="O20" s="223">
        <f t="shared" ca="1" si="22"/>
        <v>454.53458489965055</v>
      </c>
      <c r="P20" s="223">
        <f t="shared" ca="1" si="22"/>
        <v>507.731813179445</v>
      </c>
      <c r="Q20" s="223">
        <f t="shared" ca="1" si="22"/>
        <v>460.95153098811738</v>
      </c>
      <c r="R20" s="223">
        <f t="shared" ca="1" si="22"/>
        <v>464.19389651859751</v>
      </c>
      <c r="S20" s="223">
        <f t="shared" ca="1" si="22"/>
        <v>467.45906907655552</v>
      </c>
      <c r="T20" s="223">
        <f t="shared" ca="1" si="22"/>
        <v>470.747209088229</v>
      </c>
      <c r="U20" s="223">
        <f t="shared" ca="1" si="22"/>
        <v>474.05847810830466</v>
      </c>
      <c r="V20" s="278">
        <f t="shared" ca="1" si="22"/>
        <v>495.39303882785657</v>
      </c>
      <c r="W20" s="223">
        <f t="shared" ca="1" si="22"/>
        <v>590.75105508233889</v>
      </c>
      <c r="X20" s="223">
        <f t="shared" ca="1" si="22"/>
        <v>484.13269185963622</v>
      </c>
      <c r="Y20" s="223">
        <f t="shared" ca="1" si="22"/>
        <v>487.53811530816949</v>
      </c>
      <c r="Z20" s="223">
        <f t="shared" ca="1" si="22"/>
        <v>490.9674927450593</v>
      </c>
      <c r="AA20" s="223">
        <f t="shared" ca="1" si="22"/>
        <v>494.42099266434667</v>
      </c>
      <c r="AB20" s="223">
        <f t="shared" ca="1" si="22"/>
        <v>497.89878474527143</v>
      </c>
      <c r="AC20" s="223">
        <f t="shared" ca="1" si="22"/>
        <v>501.40103986060944</v>
      </c>
      <c r="AD20" s="223">
        <f t="shared" ca="1" si="22"/>
        <v>504.92793008506743</v>
      </c>
      <c r="AE20" s="223">
        <f t="shared" ca="1" si="22"/>
        <v>508.47962870373783</v>
      </c>
      <c r="AF20" s="223">
        <f t="shared" ca="1" si="22"/>
        <v>512.05631022061277</v>
      </c>
      <c r="AG20" s="223">
        <f t="shared" ca="1" si="22"/>
        <v>515.6581503671573</v>
      </c>
      <c r="AH20" s="278">
        <f t="shared" ca="1" si="22"/>
        <v>519.28532611094431</v>
      </c>
      <c r="AI20" s="223">
        <f t="shared" ca="1" si="22"/>
        <v>522.93801566434922</v>
      </c>
      <c r="AJ20" s="223">
        <f t="shared" ca="1" si="22"/>
        <v>526.6163984933055</v>
      </c>
      <c r="AK20" s="223">
        <f t="shared" ca="1" si="22"/>
        <v>530.32065532612273</v>
      </c>
      <c r="AL20" s="223">
        <f t="shared" ca="1" si="22"/>
        <v>534.05096816236619</v>
      </c>
      <c r="AM20" s="223">
        <f t="shared" ca="1" si="22"/>
        <v>537.80752028179904</v>
      </c>
      <c r="AN20" s="223">
        <f t="shared" ca="1" si="22"/>
        <v>541.59049625338707</v>
      </c>
      <c r="AO20" s="223">
        <f t="shared" ca="1" si="22"/>
        <v>545.400081944367</v>
      </c>
      <c r="AP20" s="223">
        <f t="shared" ca="1" si="22"/>
        <v>549.23646452937896</v>
      </c>
      <c r="AQ20" s="223">
        <f t="shared" ca="1" si="22"/>
        <v>553.09983249966308</v>
      </c>
      <c r="AR20" s="223">
        <f t="shared" ca="1" si="22"/>
        <v>556.99037567231915</v>
      </c>
      <c r="AS20" s="223">
        <f t="shared" ca="1" si="22"/>
        <v>560.90828519963475</v>
      </c>
      <c r="AT20" s="278">
        <f t="shared" ca="1" si="22"/>
        <v>564.85375357847602</v>
      </c>
      <c r="AU20" s="223">
        <f t="shared" ca="1" si="22"/>
        <v>568.82697465974491</v>
      </c>
      <c r="AV20" s="223">
        <f t="shared" ca="1" si="22"/>
        <v>572.82814365790489</v>
      </c>
      <c r="AW20" s="223">
        <f t="shared" ca="1" si="22"/>
        <v>576.85745716057181</v>
      </c>
      <c r="AX20" s="223">
        <f t="shared" ca="1" si="22"/>
        <v>580.91511313817193</v>
      </c>
      <c r="AY20" s="223">
        <f t="shared" ca="1" si="22"/>
        <v>585.0013109536701</v>
      </c>
      <c r="AZ20" s="223">
        <f t="shared" ca="1" si="22"/>
        <v>589.11625137236399</v>
      </c>
      <c r="BA20" s="223">
        <f t="shared" ca="1" si="22"/>
        <v>593.26013657174906</v>
      </c>
      <c r="BB20" s="223">
        <f t="shared" ca="1" si="22"/>
        <v>597.43317015145044</v>
      </c>
      <c r="BC20" s="223">
        <f t="shared" ca="1" si="22"/>
        <v>601.63555714322808</v>
      </c>
      <c r="BD20" s="223">
        <f t="shared" ca="1" si="22"/>
        <v>605.86750402105008</v>
      </c>
      <c r="BE20" s="223">
        <f t="shared" ca="1" si="22"/>
        <v>610.12921871123638</v>
      </c>
      <c r="BF20" s="278">
        <f t="shared" ca="1" si="22"/>
        <v>614.42091060267546</v>
      </c>
      <c r="BG20" s="223">
        <f t="shared" ca="1" si="22"/>
        <v>618.7427905571119</v>
      </c>
      <c r="BH20" s="223">
        <f t="shared" ca="1" si="22"/>
        <v>623.09507091950707</v>
      </c>
      <c r="BI20" s="223">
        <f t="shared" ca="1" si="22"/>
        <v>627.47796552847092</v>
      </c>
      <c r="BJ20" s="223">
        <f t="shared" ca="1" si="22"/>
        <v>631.89168972676998</v>
      </c>
      <c r="BK20" s="223">
        <f t="shared" ca="1" si="22"/>
        <v>636.33646037190704</v>
      </c>
      <c r="BL20" s="223">
        <f t="shared" ca="1" si="22"/>
        <v>640.81249584677516</v>
      </c>
      <c r="BM20" s="223">
        <f t="shared" ca="1" si="22"/>
        <v>660.32001607038865</v>
      </c>
      <c r="BN20" s="223">
        <f t="shared" ca="1" si="22"/>
        <v>649.85924250868743</v>
      </c>
      <c r="BO20" s="223">
        <f t="shared" ca="1" si="22"/>
        <v>654.4303981854182</v>
      </c>
      <c r="BP20" s="223">
        <f t="shared" ca="1" si="22"/>
        <v>704.03370769309299</v>
      </c>
      <c r="BQ20" s="223">
        <f t="shared" ca="1" si="22"/>
        <v>663.66939720402252</v>
      </c>
      <c r="BR20" s="278">
        <f t="shared" ca="1" si="22"/>
        <v>668.33769448143073</v>
      </c>
    </row>
    <row r="21" spans="1:70" ht="13.2" hidden="1" x14ac:dyDescent="0.3">
      <c r="A21" s="279"/>
      <c r="C21" s="14" t="s">
        <v>237</v>
      </c>
      <c r="D21" s="14"/>
      <c r="E21" s="212">
        <f ca="1">SUM(K21:V21)</f>
        <v>4147.6628414001207</v>
      </c>
      <c r="F21" s="212">
        <f t="shared" ca="1" si="18"/>
        <v>4484.2226222589534</v>
      </c>
      <c r="G21" s="212">
        <f t="shared" ca="1" si="19"/>
        <v>4848.0923582474816</v>
      </c>
      <c r="H21" s="212">
        <f t="shared" ca="1" si="20"/>
        <v>5241.4881003961727</v>
      </c>
      <c r="I21" s="212">
        <f t="shared" ca="1" si="21"/>
        <v>5666.8057199565937</v>
      </c>
      <c r="J21" s="248"/>
      <c r="K21" s="212">
        <f ca="1">Income!K8</f>
        <v>333.41319382829511</v>
      </c>
      <c r="L21" s="213">
        <f ca="1">Income!L8</f>
        <v>335.5880016584685</v>
      </c>
      <c r="M21" s="213">
        <f ca="1">Income!M8</f>
        <v>337.77699545724107</v>
      </c>
      <c r="N21" s="213">
        <f ca="1">Income!N8</f>
        <v>339.98026775771029</v>
      </c>
      <c r="O21" s="213">
        <f ca="1">Income!O8</f>
        <v>342.19791169655429</v>
      </c>
      <c r="P21" s="213">
        <f ca="1">Income!P8</f>
        <v>344.43002101796861</v>
      </c>
      <c r="Q21" s="212">
        <f ca="1">Income!Q8</f>
        <v>346.67669007762925</v>
      </c>
      <c r="R21" s="212">
        <f ca="1">Income!R8</f>
        <v>348.93801384668114</v>
      </c>
      <c r="S21" s="212">
        <f ca="1">Income!S8</f>
        <v>351.21408791575266</v>
      </c>
      <c r="T21" s="212">
        <f ca="1">Income!T8</f>
        <v>353.50500849899674</v>
      </c>
      <c r="U21" s="212">
        <f ca="1">Income!U8</f>
        <v>355.81087243815779</v>
      </c>
      <c r="V21" s="212">
        <f ca="1">Income!V8</f>
        <v>358.13177720666499</v>
      </c>
      <c r="W21" s="212">
        <f ca="1">Income!W8</f>
        <v>360.46782091375388</v>
      </c>
      <c r="X21" s="213">
        <f ca="1">Income!X8</f>
        <v>362.81910230861229</v>
      </c>
      <c r="Y21" s="213">
        <f ca="1">Income!Y8</f>
        <v>365.18572078455543</v>
      </c>
      <c r="Z21" s="213">
        <f ca="1">Income!Z8</f>
        <v>367.56777638322734</v>
      </c>
      <c r="AA21" s="213">
        <f ca="1">Income!AA8</f>
        <v>369.96536979882967</v>
      </c>
      <c r="AB21" s="213">
        <f ca="1">Income!AB8</f>
        <v>372.3786023823784</v>
      </c>
      <c r="AC21" s="212">
        <f ca="1">Income!AC8</f>
        <v>374.80757614598809</v>
      </c>
      <c r="AD21" s="212">
        <f ca="1">Income!AD8</f>
        <v>377.25239376718389</v>
      </c>
      <c r="AE21" s="212">
        <f ca="1">Income!AE8</f>
        <v>379.71315859324255</v>
      </c>
      <c r="AF21" s="212">
        <f ca="1">Income!AF8</f>
        <v>382.18997464556037</v>
      </c>
      <c r="AG21" s="212">
        <f ca="1">Income!AG8</f>
        <v>384.68294662405083</v>
      </c>
      <c r="AH21" s="212">
        <f ca="1">Income!AH8</f>
        <v>387.19217991157035</v>
      </c>
      <c r="AI21" s="212">
        <f ca="1">Income!AI8</f>
        <v>389.71778057837315</v>
      </c>
      <c r="AJ21" s="213">
        <f ca="1">Income!AJ8</f>
        <v>392.25985538659484</v>
      </c>
      <c r="AK21" s="213">
        <f ca="1">Income!AK8</f>
        <v>394.8185117947657</v>
      </c>
      <c r="AL21" s="213">
        <f ca="1">Income!AL8</f>
        <v>397.39385796235274</v>
      </c>
      <c r="AM21" s="213">
        <f ca="1">Income!AM8</f>
        <v>399.98600275433256</v>
      </c>
      <c r="AN21" s="213">
        <f ca="1">Income!AN8</f>
        <v>402.59505574579237</v>
      </c>
      <c r="AO21" s="212">
        <f ca="1">Income!AO8</f>
        <v>405.22112722656271</v>
      </c>
      <c r="AP21" s="212">
        <f ca="1">Income!AP8</f>
        <v>407.86432820587936</v>
      </c>
      <c r="AQ21" s="212">
        <f ca="1">Income!AQ8</f>
        <v>410.5247704170755</v>
      </c>
      <c r="AR21" s="212">
        <f ca="1">Income!AR8</f>
        <v>413.20256632230593</v>
      </c>
      <c r="AS21" s="212">
        <f ca="1">Income!AS8</f>
        <v>415.89782911729986</v>
      </c>
      <c r="AT21" s="212">
        <f ca="1">Income!AT8</f>
        <v>418.61067273614668</v>
      </c>
      <c r="AU21" s="212">
        <f ca="1">Income!AU8</f>
        <v>421.34121185611201</v>
      </c>
      <c r="AV21" s="213">
        <f ca="1">Income!AV8</f>
        <v>424.08956190248523</v>
      </c>
      <c r="AW21" s="213">
        <f ca="1">Income!AW8</f>
        <v>426.85583905345879</v>
      </c>
      <c r="AX21" s="213">
        <f ca="1">Income!AX8</f>
        <v>429.64016024503934</v>
      </c>
      <c r="AY21" s="213">
        <f ca="1">Income!AY8</f>
        <v>432.44264317599095</v>
      </c>
      <c r="AZ21" s="213">
        <f ca="1">Income!AZ8</f>
        <v>435.26340631281028</v>
      </c>
      <c r="BA21" s="212">
        <f ca="1">Income!BA8</f>
        <v>438.1025688947343</v>
      </c>
      <c r="BB21" s="212">
        <f ca="1">Income!BB8</f>
        <v>440.96025093878075</v>
      </c>
      <c r="BC21" s="212">
        <f ca="1">Income!BC8</f>
        <v>443.83657324482249</v>
      </c>
      <c r="BD21" s="212">
        <f ca="1">Income!BD8</f>
        <v>446.73165740069209</v>
      </c>
      <c r="BE21" s="212">
        <f ca="1">Income!BE8</f>
        <v>449.64562578732324</v>
      </c>
      <c r="BF21" s="212">
        <f ca="1">Income!BF8</f>
        <v>452.57860158392327</v>
      </c>
      <c r="BG21" s="212">
        <f ca="1">Income!BG8</f>
        <v>455.53070877318021</v>
      </c>
      <c r="BH21" s="213">
        <f ca="1">Income!BH8</f>
        <v>458.50207214650419</v>
      </c>
      <c r="BI21" s="213">
        <f ca="1">Income!BI8</f>
        <v>461.49281730930204</v>
      </c>
      <c r="BJ21" s="213">
        <f ca="1">Income!BJ8</f>
        <v>464.50307068628717</v>
      </c>
      <c r="BK21" s="213">
        <f ca="1">Income!BK8</f>
        <v>467.53295952682424</v>
      </c>
      <c r="BL21" s="213">
        <f ca="1">Income!BL8</f>
        <v>470.58261191030704</v>
      </c>
      <c r="BM21" s="212">
        <f ca="1">Income!BM8</f>
        <v>473.65215675157407</v>
      </c>
      <c r="BN21" s="212">
        <f ca="1">Income!BN8</f>
        <v>476.7417238063569</v>
      </c>
      <c r="BO21" s="212">
        <f ca="1">Income!BO8</f>
        <v>479.851443676766</v>
      </c>
      <c r="BP21" s="212">
        <f ca="1">Income!BP8</f>
        <v>482.98144781681123</v>
      </c>
      <c r="BQ21" s="212">
        <f ca="1">Income!BQ8</f>
        <v>486.13186853795844</v>
      </c>
      <c r="BR21" s="212">
        <f ca="1">Income!BR8</f>
        <v>489.30283901472251</v>
      </c>
    </row>
    <row r="22" spans="1:70" ht="13.2" x14ac:dyDescent="0.3">
      <c r="B22" s="34"/>
      <c r="C22" s="185" t="s">
        <v>238</v>
      </c>
      <c r="D22" s="14"/>
      <c r="E22" s="211">
        <f t="shared" ca="1" si="17"/>
        <v>207.38314207000602</v>
      </c>
      <c r="F22" s="211">
        <f t="shared" ca="1" si="18"/>
        <v>224.21113111294764</v>
      </c>
      <c r="G22" s="211">
        <f t="shared" ca="1" si="19"/>
        <v>242.40461791237408</v>
      </c>
      <c r="H22" s="211">
        <f t="shared" ca="1" si="20"/>
        <v>262.07440501980869</v>
      </c>
      <c r="I22" s="211">
        <f t="shared" ca="1" si="21"/>
        <v>283.34028599782971</v>
      </c>
      <c r="J22" s="248"/>
      <c r="K22" s="212">
        <f ca="1">TermsPayCash*K21</f>
        <v>16.670659691414755</v>
      </c>
      <c r="L22" s="213">
        <f t="shared" ref="L22:AP22" ca="1" si="23">TermsPayCash*L21</f>
        <v>16.779400082923427</v>
      </c>
      <c r="M22" s="213">
        <f t="shared" ca="1" si="23"/>
        <v>16.888849772862056</v>
      </c>
      <c r="N22" s="213">
        <f t="shared" ca="1" si="23"/>
        <v>16.999013387885515</v>
      </c>
      <c r="O22" s="213">
        <f t="shared" ca="1" si="23"/>
        <v>17.109895584827715</v>
      </c>
      <c r="P22" s="213">
        <f t="shared" ca="1" si="23"/>
        <v>17.221501050898432</v>
      </c>
      <c r="Q22" s="212">
        <f t="shared" ca="1" si="23"/>
        <v>17.333834503881462</v>
      </c>
      <c r="R22" s="212">
        <f t="shared" ca="1" si="23"/>
        <v>17.446900692334058</v>
      </c>
      <c r="S22" s="212">
        <f t="shared" ca="1" si="23"/>
        <v>17.560704395787635</v>
      </c>
      <c r="T22" s="212">
        <f t="shared" ca="1" si="23"/>
        <v>17.675250424949837</v>
      </c>
      <c r="U22" s="212">
        <f t="shared" ca="1" si="23"/>
        <v>17.79054362190789</v>
      </c>
      <c r="V22" s="211">
        <f t="shared" ca="1" si="23"/>
        <v>17.906588860333251</v>
      </c>
      <c r="W22" s="212">
        <f t="shared" ca="1" si="23"/>
        <v>18.023391045687696</v>
      </c>
      <c r="X22" s="213">
        <f t="shared" ca="1" si="23"/>
        <v>18.140955115430614</v>
      </c>
      <c r="Y22" s="213">
        <f t="shared" ca="1" si="23"/>
        <v>18.259286039227771</v>
      </c>
      <c r="Z22" s="213">
        <f t="shared" ca="1" si="23"/>
        <v>18.378388819161369</v>
      </c>
      <c r="AA22" s="213">
        <f t="shared" ca="1" si="23"/>
        <v>18.498268489941484</v>
      </c>
      <c r="AB22" s="213">
        <f t="shared" ca="1" si="23"/>
        <v>18.618930119118922</v>
      </c>
      <c r="AC22" s="212">
        <f t="shared" ca="1" si="23"/>
        <v>18.740378807299404</v>
      </c>
      <c r="AD22" s="212">
        <f t="shared" ca="1" si="23"/>
        <v>18.862619688359196</v>
      </c>
      <c r="AE22" s="212">
        <f t="shared" ca="1" si="23"/>
        <v>18.985657929662128</v>
      </c>
      <c r="AF22" s="212">
        <f t="shared" ca="1" si="23"/>
        <v>19.10949873227802</v>
      </c>
      <c r="AG22" s="212">
        <f t="shared" ca="1" si="23"/>
        <v>19.234147331202543</v>
      </c>
      <c r="AH22" s="211">
        <f t="shared" ca="1" si="23"/>
        <v>19.359608995578519</v>
      </c>
      <c r="AI22" s="212">
        <f t="shared" ca="1" si="23"/>
        <v>19.48588902891866</v>
      </c>
      <c r="AJ22" s="213">
        <f t="shared" ca="1" si="23"/>
        <v>19.612992769329743</v>
      </c>
      <c r="AK22" s="213">
        <f t="shared" ca="1" si="23"/>
        <v>19.740925589738286</v>
      </c>
      <c r="AL22" s="213">
        <f t="shared" ca="1" si="23"/>
        <v>19.869692898117638</v>
      </c>
      <c r="AM22" s="213">
        <f t="shared" ca="1" si="23"/>
        <v>19.999300137716631</v>
      </c>
      <c r="AN22" s="213">
        <f t="shared" ca="1" si="23"/>
        <v>20.129752787289618</v>
      </c>
      <c r="AO22" s="212">
        <f t="shared" ca="1" si="23"/>
        <v>20.261056361328137</v>
      </c>
      <c r="AP22" s="212">
        <f t="shared" ca="1" si="23"/>
        <v>20.39321641029397</v>
      </c>
      <c r="AQ22" s="212">
        <f t="shared" ref="AQ22:BR22" ca="1" si="24">TermsPayCash*AQ21</f>
        <v>20.526238520853777</v>
      </c>
      <c r="AR22" s="212">
        <f t="shared" ca="1" si="24"/>
        <v>20.660128316115298</v>
      </c>
      <c r="AS22" s="212">
        <f t="shared" ca="1" si="24"/>
        <v>20.794891455864995</v>
      </c>
      <c r="AT22" s="211">
        <f t="shared" ca="1" si="24"/>
        <v>20.930533636807336</v>
      </c>
      <c r="AU22" s="212">
        <f t="shared" ca="1" si="24"/>
        <v>21.067060592805603</v>
      </c>
      <c r="AV22" s="213">
        <f t="shared" ca="1" si="24"/>
        <v>21.204478095124262</v>
      </c>
      <c r="AW22" s="213">
        <f t="shared" ca="1" si="24"/>
        <v>21.34279195267294</v>
      </c>
      <c r="AX22" s="213">
        <f t="shared" ca="1" si="24"/>
        <v>21.482008012251967</v>
      </c>
      <c r="AY22" s="213">
        <f t="shared" ca="1" si="24"/>
        <v>21.622132158799548</v>
      </c>
      <c r="AZ22" s="213">
        <f t="shared" ca="1" si="24"/>
        <v>21.763170315640515</v>
      </c>
      <c r="BA22" s="212">
        <f t="shared" ca="1" si="24"/>
        <v>21.905128444736718</v>
      </c>
      <c r="BB22" s="212">
        <f t="shared" ca="1" si="24"/>
        <v>22.048012546939038</v>
      </c>
      <c r="BC22" s="212">
        <f t="shared" ca="1" si="24"/>
        <v>22.191828662241125</v>
      </c>
      <c r="BD22" s="212">
        <f t="shared" ca="1" si="24"/>
        <v>22.336582870034604</v>
      </c>
      <c r="BE22" s="212">
        <f t="shared" ca="1" si="24"/>
        <v>22.482281289366163</v>
      </c>
      <c r="BF22" s="211">
        <f t="shared" ca="1" si="24"/>
        <v>22.628930079196167</v>
      </c>
      <c r="BG22" s="212">
        <f t="shared" ca="1" si="24"/>
        <v>22.77653543865901</v>
      </c>
      <c r="BH22" s="213">
        <f t="shared" ca="1" si="24"/>
        <v>22.925103607325212</v>
      </c>
      <c r="BI22" s="213">
        <f t="shared" ca="1" si="24"/>
        <v>23.074640865465103</v>
      </c>
      <c r="BJ22" s="213">
        <f t="shared" ca="1" si="24"/>
        <v>23.225153534314359</v>
      </c>
      <c r="BK22" s="213">
        <f t="shared" ca="1" si="24"/>
        <v>23.376647976341214</v>
      </c>
      <c r="BL22" s="213">
        <f t="shared" ca="1" si="24"/>
        <v>23.529130595515355</v>
      </c>
      <c r="BM22" s="212">
        <f t="shared" ca="1" si="24"/>
        <v>23.682607837578704</v>
      </c>
      <c r="BN22" s="212">
        <f t="shared" ca="1" si="24"/>
        <v>23.837086190317848</v>
      </c>
      <c r="BO22" s="212">
        <f t="shared" ca="1" si="24"/>
        <v>23.992572183838302</v>
      </c>
      <c r="BP22" s="212">
        <f t="shared" ca="1" si="24"/>
        <v>24.149072390840562</v>
      </c>
      <c r="BQ22" s="212">
        <f t="shared" ca="1" si="24"/>
        <v>24.306593426897923</v>
      </c>
      <c r="BR22" s="211">
        <f t="shared" ca="1" si="24"/>
        <v>24.465141950736125</v>
      </c>
    </row>
    <row r="23" spans="1:70" ht="13.2" hidden="1" x14ac:dyDescent="0.3">
      <c r="C23" s="181" t="s">
        <v>232</v>
      </c>
      <c r="D23" s="14"/>
      <c r="E23" s="212">
        <f t="shared" ca="1" si="17"/>
        <v>1894.7655320967276</v>
      </c>
      <c r="F23" s="212">
        <f t="shared" ca="1" si="18"/>
        <v>2227.5811097770238</v>
      </c>
      <c r="G23" s="212">
        <f t="shared" ca="1" si="19"/>
        <v>2408.3369327114524</v>
      </c>
      <c r="H23" s="212">
        <f t="shared" ca="1" si="20"/>
        <v>2603.7600857741982</v>
      </c>
      <c r="I23" s="212">
        <f t="shared" ca="1" si="21"/>
        <v>2815.0407412628979</v>
      </c>
      <c r="J23" s="248"/>
      <c r="K23" s="212"/>
      <c r="L23" s="213">
        <f t="shared" ref="L23:AQ23" ca="1" si="25">TermsPay30*K21</f>
        <v>166.70659691414755</v>
      </c>
      <c r="M23" s="213">
        <f t="shared" ca="1" si="25"/>
        <v>167.79400082923425</v>
      </c>
      <c r="N23" s="213">
        <f t="shared" ca="1" si="25"/>
        <v>168.88849772862054</v>
      </c>
      <c r="O23" s="213">
        <f t="shared" ca="1" si="25"/>
        <v>169.99013387885515</v>
      </c>
      <c r="P23" s="213">
        <f t="shared" ca="1" si="25"/>
        <v>171.09895584827714</v>
      </c>
      <c r="Q23" s="212">
        <f t="shared" ca="1" si="25"/>
        <v>172.21501050898431</v>
      </c>
      <c r="R23" s="212">
        <f t="shared" ca="1" si="25"/>
        <v>173.33834503881462</v>
      </c>
      <c r="S23" s="212">
        <f t="shared" ca="1" si="25"/>
        <v>174.46900692334057</v>
      </c>
      <c r="T23" s="212">
        <f t="shared" ca="1" si="25"/>
        <v>175.60704395787633</v>
      </c>
      <c r="U23" s="212">
        <f t="shared" ca="1" si="25"/>
        <v>176.75250424949837</v>
      </c>
      <c r="V23" s="212">
        <f t="shared" ca="1" si="25"/>
        <v>177.90543621907889</v>
      </c>
      <c r="W23" s="212">
        <f t="shared" ca="1" si="25"/>
        <v>179.0658886033325</v>
      </c>
      <c r="X23" s="213">
        <f t="shared" ca="1" si="25"/>
        <v>180.23391045687694</v>
      </c>
      <c r="Y23" s="213">
        <f t="shared" ca="1" si="25"/>
        <v>181.40955115430614</v>
      </c>
      <c r="Z23" s="213">
        <f t="shared" ca="1" si="25"/>
        <v>182.59286039227771</v>
      </c>
      <c r="AA23" s="213">
        <f t="shared" ca="1" si="25"/>
        <v>183.78388819161367</v>
      </c>
      <c r="AB23" s="213">
        <f t="shared" ca="1" si="25"/>
        <v>184.98268489941483</v>
      </c>
      <c r="AC23" s="212">
        <f t="shared" ca="1" si="25"/>
        <v>186.1893011911892</v>
      </c>
      <c r="AD23" s="212">
        <f t="shared" ca="1" si="25"/>
        <v>187.40378807299405</v>
      </c>
      <c r="AE23" s="212">
        <f t="shared" ca="1" si="25"/>
        <v>188.62619688359194</v>
      </c>
      <c r="AF23" s="212">
        <f t="shared" ca="1" si="25"/>
        <v>189.85657929662128</v>
      </c>
      <c r="AG23" s="212">
        <f t="shared" ca="1" si="25"/>
        <v>191.09498732278018</v>
      </c>
      <c r="AH23" s="212">
        <f t="shared" ca="1" si="25"/>
        <v>192.34147331202541</v>
      </c>
      <c r="AI23" s="212">
        <f t="shared" ca="1" si="25"/>
        <v>193.59608995578517</v>
      </c>
      <c r="AJ23" s="213">
        <f t="shared" ca="1" si="25"/>
        <v>194.85889028918658</v>
      </c>
      <c r="AK23" s="213">
        <f t="shared" ca="1" si="25"/>
        <v>196.12992769329742</v>
      </c>
      <c r="AL23" s="213">
        <f t="shared" ca="1" si="25"/>
        <v>197.40925589738285</v>
      </c>
      <c r="AM23" s="213">
        <f t="shared" ca="1" si="25"/>
        <v>198.69692898117637</v>
      </c>
      <c r="AN23" s="213">
        <f t="shared" ca="1" si="25"/>
        <v>199.99300137716628</v>
      </c>
      <c r="AO23" s="212">
        <f t="shared" ca="1" si="25"/>
        <v>201.29752787289618</v>
      </c>
      <c r="AP23" s="212">
        <f t="shared" ca="1" si="25"/>
        <v>202.61056361328136</v>
      </c>
      <c r="AQ23" s="212">
        <f t="shared" ca="1" si="25"/>
        <v>203.93216410293968</v>
      </c>
      <c r="AR23" s="212">
        <f t="shared" ref="AR23:BR23" ca="1" si="26">TermsPay30*AQ21</f>
        <v>205.26238520853775</v>
      </c>
      <c r="AS23" s="212">
        <f t="shared" ca="1" si="26"/>
        <v>206.60128316115296</v>
      </c>
      <c r="AT23" s="212">
        <f t="shared" ca="1" si="26"/>
        <v>207.94891455864993</v>
      </c>
      <c r="AU23" s="212">
        <f t="shared" ca="1" si="26"/>
        <v>209.30533636807334</v>
      </c>
      <c r="AV23" s="213">
        <f t="shared" ca="1" si="26"/>
        <v>210.67060592805601</v>
      </c>
      <c r="AW23" s="213">
        <f t="shared" ca="1" si="26"/>
        <v>212.04478095124261</v>
      </c>
      <c r="AX23" s="213">
        <f t="shared" ca="1" si="26"/>
        <v>213.4279195267294</v>
      </c>
      <c r="AY23" s="213">
        <f t="shared" ca="1" si="26"/>
        <v>214.82008012251967</v>
      </c>
      <c r="AZ23" s="213">
        <f t="shared" ca="1" si="26"/>
        <v>216.22132158799548</v>
      </c>
      <c r="BA23" s="212">
        <f t="shared" ca="1" si="26"/>
        <v>217.63170315640514</v>
      </c>
      <c r="BB23" s="212">
        <f t="shared" ca="1" si="26"/>
        <v>219.05128444736715</v>
      </c>
      <c r="BC23" s="212">
        <f t="shared" ca="1" si="26"/>
        <v>220.48012546939037</v>
      </c>
      <c r="BD23" s="212">
        <f t="shared" ca="1" si="26"/>
        <v>221.91828662241124</v>
      </c>
      <c r="BE23" s="212">
        <f t="shared" ca="1" si="26"/>
        <v>223.36582870034604</v>
      </c>
      <c r="BF23" s="212">
        <f t="shared" ca="1" si="26"/>
        <v>224.82281289366162</v>
      </c>
      <c r="BG23" s="212">
        <f t="shared" ca="1" si="26"/>
        <v>226.28930079196164</v>
      </c>
      <c r="BH23" s="213">
        <f t="shared" ca="1" si="26"/>
        <v>227.7653543865901</v>
      </c>
      <c r="BI23" s="213">
        <f t="shared" ca="1" si="26"/>
        <v>229.2510360732521</v>
      </c>
      <c r="BJ23" s="213">
        <f t="shared" ca="1" si="26"/>
        <v>230.74640865465102</v>
      </c>
      <c r="BK23" s="213">
        <f t="shared" ca="1" si="26"/>
        <v>232.25153534314359</v>
      </c>
      <c r="BL23" s="213">
        <f t="shared" ca="1" si="26"/>
        <v>233.76647976341212</v>
      </c>
      <c r="BM23" s="212">
        <f t="shared" ca="1" si="26"/>
        <v>235.29130595515352</v>
      </c>
      <c r="BN23" s="212">
        <f t="shared" ca="1" si="26"/>
        <v>236.82607837578703</v>
      </c>
      <c r="BO23" s="212">
        <f t="shared" ca="1" si="26"/>
        <v>238.37086190317845</v>
      </c>
      <c r="BP23" s="212">
        <f t="shared" ca="1" si="26"/>
        <v>239.925721838383</v>
      </c>
      <c r="BQ23" s="212">
        <f t="shared" ca="1" si="26"/>
        <v>241.49072390840561</v>
      </c>
      <c r="BR23" s="212">
        <f t="shared" ca="1" si="26"/>
        <v>243.06593426897922</v>
      </c>
    </row>
    <row r="24" spans="1:70" ht="13.2" hidden="1" x14ac:dyDescent="0.3">
      <c r="C24" s="272" t="s">
        <v>233</v>
      </c>
      <c r="D24" s="14"/>
      <c r="E24" s="212">
        <f t="shared" ca="1" si="17"/>
        <v>1373.4880767021191</v>
      </c>
      <c r="F24" s="212">
        <f t="shared" ca="1" si="18"/>
        <v>1770.5160581472619</v>
      </c>
      <c r="G24" s="212">
        <f t="shared" ca="1" si="19"/>
        <v>1914.1835931718629</v>
      </c>
      <c r="H24" s="212">
        <f t="shared" ca="1" si="20"/>
        <v>2069.5089499513497</v>
      </c>
      <c r="I24" s="212">
        <f t="shared" ca="1" si="21"/>
        <v>2237.438095910064</v>
      </c>
      <c r="J24" s="248"/>
      <c r="K24" s="213"/>
      <c r="L24" s="213"/>
      <c r="M24" s="213">
        <f t="shared" ref="M24:AR24" ca="1" si="27">TermsPay60*K21</f>
        <v>133.36527753131804</v>
      </c>
      <c r="N24" s="213">
        <f t="shared" ca="1" si="27"/>
        <v>134.23520066338742</v>
      </c>
      <c r="O24" s="213">
        <f t="shared" ca="1" si="27"/>
        <v>135.11079818289645</v>
      </c>
      <c r="P24" s="213">
        <f t="shared" ca="1" si="27"/>
        <v>135.99210710308412</v>
      </c>
      <c r="Q24" s="213">
        <f t="shared" ca="1" si="27"/>
        <v>136.87916467862172</v>
      </c>
      <c r="R24" s="213">
        <f t="shared" ca="1" si="27"/>
        <v>137.77200840718746</v>
      </c>
      <c r="S24" s="213">
        <f t="shared" ca="1" si="27"/>
        <v>138.6706760310517</v>
      </c>
      <c r="T24" s="213">
        <f t="shared" ca="1" si="27"/>
        <v>139.57520553867246</v>
      </c>
      <c r="U24" s="213">
        <f t="shared" ca="1" si="27"/>
        <v>140.48563516630108</v>
      </c>
      <c r="V24" s="212">
        <f t="shared" ca="1" si="27"/>
        <v>141.4020033995987</v>
      </c>
      <c r="W24" s="213">
        <f t="shared" ca="1" si="27"/>
        <v>142.32434897526312</v>
      </c>
      <c r="X24" s="213">
        <f t="shared" ca="1" si="27"/>
        <v>143.25271088266601</v>
      </c>
      <c r="Y24" s="213">
        <f t="shared" ca="1" si="27"/>
        <v>144.18712836550156</v>
      </c>
      <c r="Z24" s="213">
        <f t="shared" ca="1" si="27"/>
        <v>145.12764092344491</v>
      </c>
      <c r="AA24" s="213">
        <f t="shared" ca="1" si="27"/>
        <v>146.07428831382217</v>
      </c>
      <c r="AB24" s="213">
        <f t="shared" ca="1" si="27"/>
        <v>147.02711055329095</v>
      </c>
      <c r="AC24" s="213">
        <f t="shared" ca="1" si="27"/>
        <v>147.98614791953187</v>
      </c>
      <c r="AD24" s="213">
        <f t="shared" ca="1" si="27"/>
        <v>148.95144095295137</v>
      </c>
      <c r="AE24" s="213">
        <f t="shared" ca="1" si="27"/>
        <v>149.92303045839523</v>
      </c>
      <c r="AF24" s="213">
        <f t="shared" ca="1" si="27"/>
        <v>150.90095750687357</v>
      </c>
      <c r="AG24" s="213">
        <f t="shared" ca="1" si="27"/>
        <v>151.88526343729703</v>
      </c>
      <c r="AH24" s="212">
        <f t="shared" ca="1" si="27"/>
        <v>152.87598985822416</v>
      </c>
      <c r="AI24" s="213">
        <f t="shared" ca="1" si="27"/>
        <v>153.87317864962034</v>
      </c>
      <c r="AJ24" s="213">
        <f t="shared" ca="1" si="27"/>
        <v>154.87687196462815</v>
      </c>
      <c r="AK24" s="213">
        <f t="shared" ca="1" si="27"/>
        <v>155.88711223134928</v>
      </c>
      <c r="AL24" s="213">
        <f t="shared" ca="1" si="27"/>
        <v>156.90394215463795</v>
      </c>
      <c r="AM24" s="213">
        <f t="shared" ca="1" si="27"/>
        <v>157.92740471790628</v>
      </c>
      <c r="AN24" s="213">
        <f t="shared" ca="1" si="27"/>
        <v>158.9575431849411</v>
      </c>
      <c r="AO24" s="213">
        <f t="shared" ca="1" si="27"/>
        <v>159.99440110173305</v>
      </c>
      <c r="AP24" s="213">
        <f t="shared" ca="1" si="27"/>
        <v>161.03802229831695</v>
      </c>
      <c r="AQ24" s="213">
        <f t="shared" ca="1" si="27"/>
        <v>162.0884508906251</v>
      </c>
      <c r="AR24" s="213">
        <f t="shared" ca="1" si="27"/>
        <v>163.14573128235176</v>
      </c>
      <c r="AS24" s="213">
        <f t="shared" ref="AS24:BR24" ca="1" si="28">TermsPay60*AQ21</f>
        <v>164.20990816683022</v>
      </c>
      <c r="AT24" s="212">
        <f t="shared" ca="1" si="28"/>
        <v>165.28102652892238</v>
      </c>
      <c r="AU24" s="213">
        <f t="shared" ca="1" si="28"/>
        <v>166.35913164691996</v>
      </c>
      <c r="AV24" s="213">
        <f t="shared" ca="1" si="28"/>
        <v>167.44426909445869</v>
      </c>
      <c r="AW24" s="213">
        <f t="shared" ca="1" si="28"/>
        <v>168.53648474244483</v>
      </c>
      <c r="AX24" s="213">
        <f t="shared" ca="1" si="28"/>
        <v>169.6358247609941</v>
      </c>
      <c r="AY24" s="213">
        <f t="shared" ca="1" si="28"/>
        <v>170.74233562138352</v>
      </c>
      <c r="AZ24" s="213">
        <f t="shared" ca="1" si="28"/>
        <v>171.85606409801574</v>
      </c>
      <c r="BA24" s="213">
        <f t="shared" ca="1" si="28"/>
        <v>172.97705727039639</v>
      </c>
      <c r="BB24" s="213">
        <f t="shared" ca="1" si="28"/>
        <v>174.10536252512412</v>
      </c>
      <c r="BC24" s="213">
        <f t="shared" ca="1" si="28"/>
        <v>175.24102755789374</v>
      </c>
      <c r="BD24" s="213">
        <f t="shared" ca="1" si="28"/>
        <v>176.3841003755123</v>
      </c>
      <c r="BE24" s="213">
        <f t="shared" ca="1" si="28"/>
        <v>177.534629297929</v>
      </c>
      <c r="BF24" s="212">
        <f t="shared" ca="1" si="28"/>
        <v>178.69266296027683</v>
      </c>
      <c r="BG24" s="213">
        <f t="shared" ca="1" si="28"/>
        <v>179.85825031492931</v>
      </c>
      <c r="BH24" s="213">
        <f t="shared" ca="1" si="28"/>
        <v>181.03144063356933</v>
      </c>
      <c r="BI24" s="213">
        <f t="shared" ca="1" si="28"/>
        <v>182.21228350927208</v>
      </c>
      <c r="BJ24" s="213">
        <f t="shared" ca="1" si="28"/>
        <v>183.4008288586017</v>
      </c>
      <c r="BK24" s="213">
        <f t="shared" ca="1" si="28"/>
        <v>184.59712692372082</v>
      </c>
      <c r="BL24" s="213">
        <f t="shared" ca="1" si="28"/>
        <v>185.80122827451487</v>
      </c>
      <c r="BM24" s="213">
        <f t="shared" ca="1" si="28"/>
        <v>187.01318381072971</v>
      </c>
      <c r="BN24" s="213">
        <f t="shared" ca="1" si="28"/>
        <v>188.23304476412284</v>
      </c>
      <c r="BO24" s="213">
        <f t="shared" ca="1" si="28"/>
        <v>189.46086270062963</v>
      </c>
      <c r="BP24" s="213">
        <f t="shared" ca="1" si="28"/>
        <v>190.69668952254278</v>
      </c>
      <c r="BQ24" s="213">
        <f t="shared" ca="1" si="28"/>
        <v>191.94057747070642</v>
      </c>
      <c r="BR24" s="212">
        <f t="shared" ca="1" si="28"/>
        <v>193.1925791267245</v>
      </c>
    </row>
    <row r="25" spans="1:70" ht="13.2" hidden="1" x14ac:dyDescent="0.3">
      <c r="C25" s="273" t="s">
        <v>234</v>
      </c>
      <c r="D25" s="14"/>
      <c r="E25" s="274">
        <f t="shared" ca="1" si="17"/>
        <v>154.01075916281505</v>
      </c>
      <c r="F25" s="274">
        <f t="shared" ca="1" si="18"/>
        <v>219.88025896107956</v>
      </c>
      <c r="G25" s="274">
        <f t="shared" ca="1" si="19"/>
        <v>237.72231956264557</v>
      </c>
      <c r="H25" s="274">
        <f t="shared" ca="1" si="20"/>
        <v>257.01216418999934</v>
      </c>
      <c r="I25" s="274">
        <f t="shared" ca="1" si="21"/>
        <v>277.86727246795209</v>
      </c>
      <c r="J25" s="248"/>
      <c r="K25" s="275"/>
      <c r="L25" s="275"/>
      <c r="M25" s="275"/>
      <c r="N25" s="275">
        <f t="shared" ref="N25:AS25" ca="1" si="29">TermsPay90*K21</f>
        <v>16.670659691414755</v>
      </c>
      <c r="O25" s="275">
        <f t="shared" ca="1" si="29"/>
        <v>16.779400082923427</v>
      </c>
      <c r="P25" s="275">
        <f t="shared" ca="1" si="29"/>
        <v>16.888849772862056</v>
      </c>
      <c r="Q25" s="275">
        <f t="shared" ca="1" si="29"/>
        <v>16.999013387885515</v>
      </c>
      <c r="R25" s="275">
        <f t="shared" ca="1" si="29"/>
        <v>17.109895584827715</v>
      </c>
      <c r="S25" s="275">
        <f t="shared" ca="1" si="29"/>
        <v>17.221501050898432</v>
      </c>
      <c r="T25" s="275">
        <f t="shared" ca="1" si="29"/>
        <v>17.333834503881462</v>
      </c>
      <c r="U25" s="275">
        <f t="shared" ca="1" si="29"/>
        <v>17.446900692334058</v>
      </c>
      <c r="V25" s="276">
        <f t="shared" ca="1" si="29"/>
        <v>17.560704395787635</v>
      </c>
      <c r="W25" s="275">
        <f t="shared" ca="1" si="29"/>
        <v>17.675250424949837</v>
      </c>
      <c r="X25" s="275">
        <f t="shared" ca="1" si="29"/>
        <v>17.79054362190789</v>
      </c>
      <c r="Y25" s="275">
        <f t="shared" ca="1" si="29"/>
        <v>17.906588860333251</v>
      </c>
      <c r="Z25" s="275">
        <f t="shared" ca="1" si="29"/>
        <v>18.023391045687696</v>
      </c>
      <c r="AA25" s="275">
        <f t="shared" ca="1" si="29"/>
        <v>18.140955115430614</v>
      </c>
      <c r="AB25" s="275">
        <f t="shared" ca="1" si="29"/>
        <v>18.259286039227771</v>
      </c>
      <c r="AC25" s="275">
        <f t="shared" ca="1" si="29"/>
        <v>18.378388819161369</v>
      </c>
      <c r="AD25" s="275">
        <f t="shared" ca="1" si="29"/>
        <v>18.498268489941484</v>
      </c>
      <c r="AE25" s="275">
        <f t="shared" ca="1" si="29"/>
        <v>18.618930119118922</v>
      </c>
      <c r="AF25" s="275">
        <f t="shared" ca="1" si="29"/>
        <v>18.740378807299404</v>
      </c>
      <c r="AG25" s="275">
        <f t="shared" ca="1" si="29"/>
        <v>18.862619688359196</v>
      </c>
      <c r="AH25" s="276">
        <f t="shared" ca="1" si="29"/>
        <v>18.985657929662128</v>
      </c>
      <c r="AI25" s="275">
        <f t="shared" ca="1" si="29"/>
        <v>19.10949873227802</v>
      </c>
      <c r="AJ25" s="275">
        <f t="shared" ca="1" si="29"/>
        <v>19.234147331202543</v>
      </c>
      <c r="AK25" s="275">
        <f t="shared" ca="1" si="29"/>
        <v>19.359608995578519</v>
      </c>
      <c r="AL25" s="275">
        <f t="shared" ca="1" si="29"/>
        <v>19.48588902891866</v>
      </c>
      <c r="AM25" s="275">
        <f t="shared" ca="1" si="29"/>
        <v>19.612992769329743</v>
      </c>
      <c r="AN25" s="275">
        <f t="shared" ca="1" si="29"/>
        <v>19.740925589738286</v>
      </c>
      <c r="AO25" s="275">
        <f t="shared" ca="1" si="29"/>
        <v>19.869692898117638</v>
      </c>
      <c r="AP25" s="275">
        <f t="shared" ca="1" si="29"/>
        <v>19.999300137716631</v>
      </c>
      <c r="AQ25" s="275">
        <f t="shared" ca="1" si="29"/>
        <v>20.129752787289618</v>
      </c>
      <c r="AR25" s="275">
        <f t="shared" ca="1" si="29"/>
        <v>20.261056361328137</v>
      </c>
      <c r="AS25" s="275">
        <f t="shared" ca="1" si="29"/>
        <v>20.39321641029397</v>
      </c>
      <c r="AT25" s="276">
        <f t="shared" ref="AT25:BR25" ca="1" si="30">TermsPay90*AQ21</f>
        <v>20.526238520853777</v>
      </c>
      <c r="AU25" s="275">
        <f t="shared" ca="1" si="30"/>
        <v>20.660128316115298</v>
      </c>
      <c r="AV25" s="275">
        <f t="shared" ca="1" si="30"/>
        <v>20.794891455864995</v>
      </c>
      <c r="AW25" s="275">
        <f t="shared" ca="1" si="30"/>
        <v>20.930533636807336</v>
      </c>
      <c r="AX25" s="275">
        <f t="shared" ca="1" si="30"/>
        <v>21.067060592805603</v>
      </c>
      <c r="AY25" s="275">
        <f t="shared" ca="1" si="30"/>
        <v>21.204478095124262</v>
      </c>
      <c r="AZ25" s="275">
        <f t="shared" ca="1" si="30"/>
        <v>21.34279195267294</v>
      </c>
      <c r="BA25" s="275">
        <f t="shared" ca="1" si="30"/>
        <v>21.482008012251967</v>
      </c>
      <c r="BB25" s="275">
        <f t="shared" ca="1" si="30"/>
        <v>21.622132158799548</v>
      </c>
      <c r="BC25" s="275">
        <f t="shared" ca="1" si="30"/>
        <v>21.763170315640515</v>
      </c>
      <c r="BD25" s="275">
        <f t="shared" ca="1" si="30"/>
        <v>21.905128444736718</v>
      </c>
      <c r="BE25" s="275">
        <f t="shared" ca="1" si="30"/>
        <v>22.048012546939038</v>
      </c>
      <c r="BF25" s="276">
        <f t="shared" ca="1" si="30"/>
        <v>22.191828662241125</v>
      </c>
      <c r="BG25" s="275">
        <f t="shared" ca="1" si="30"/>
        <v>22.336582870034604</v>
      </c>
      <c r="BH25" s="275">
        <f t="shared" ca="1" si="30"/>
        <v>22.482281289366163</v>
      </c>
      <c r="BI25" s="275">
        <f t="shared" ca="1" si="30"/>
        <v>22.628930079196167</v>
      </c>
      <c r="BJ25" s="275">
        <f t="shared" ca="1" si="30"/>
        <v>22.77653543865901</v>
      </c>
      <c r="BK25" s="275">
        <f t="shared" ca="1" si="30"/>
        <v>22.925103607325212</v>
      </c>
      <c r="BL25" s="275">
        <f t="shared" ca="1" si="30"/>
        <v>23.074640865465103</v>
      </c>
      <c r="BM25" s="275">
        <f t="shared" ca="1" si="30"/>
        <v>23.225153534314359</v>
      </c>
      <c r="BN25" s="275">
        <f t="shared" ca="1" si="30"/>
        <v>23.376647976341214</v>
      </c>
      <c r="BO25" s="275">
        <f t="shared" ca="1" si="30"/>
        <v>23.529130595515355</v>
      </c>
      <c r="BP25" s="275">
        <f t="shared" ca="1" si="30"/>
        <v>23.682607837578704</v>
      </c>
      <c r="BQ25" s="275">
        <f t="shared" ca="1" si="30"/>
        <v>23.837086190317848</v>
      </c>
      <c r="BR25" s="276">
        <f t="shared" ca="1" si="30"/>
        <v>23.992572183838302</v>
      </c>
    </row>
    <row r="26" spans="1:70" ht="13.2" x14ac:dyDescent="0.3">
      <c r="B26" s="34"/>
      <c r="C26" s="185" t="s">
        <v>239</v>
      </c>
      <c r="D26" s="14"/>
      <c r="E26" s="211">
        <f t="shared" ca="1" si="17"/>
        <v>3422.2643679616613</v>
      </c>
      <c r="F26" s="211">
        <f t="shared" ca="1" si="18"/>
        <v>4217.9774268853653</v>
      </c>
      <c r="G26" s="211">
        <f t="shared" ca="1" si="19"/>
        <v>4560.2428454459614</v>
      </c>
      <c r="H26" s="211">
        <f t="shared" ca="1" si="20"/>
        <v>4930.2811999155465</v>
      </c>
      <c r="I26" s="211">
        <f t="shared" ca="1" si="21"/>
        <v>5330.3461096409137</v>
      </c>
      <c r="J26" s="248"/>
      <c r="K26" s="212">
        <f>SUM(K23:K25)</f>
        <v>0</v>
      </c>
      <c r="L26" s="213">
        <f t="shared" ref="L26:BR26" ca="1" si="31">SUM(L23:L25)</f>
        <v>166.70659691414755</v>
      </c>
      <c r="M26" s="213">
        <f t="shared" ca="1" si="31"/>
        <v>301.15927836055232</v>
      </c>
      <c r="N26" s="213">
        <f t="shared" ca="1" si="31"/>
        <v>319.79435808342271</v>
      </c>
      <c r="O26" s="213">
        <f t="shared" ca="1" si="31"/>
        <v>321.88033214467498</v>
      </c>
      <c r="P26" s="213">
        <f t="shared" ca="1" si="31"/>
        <v>323.97991272422331</v>
      </c>
      <c r="Q26" s="212">
        <f t="shared" ca="1" si="31"/>
        <v>326.09318857549152</v>
      </c>
      <c r="R26" s="212">
        <f t="shared" ca="1" si="31"/>
        <v>328.22024903082979</v>
      </c>
      <c r="S26" s="212">
        <f t="shared" ca="1" si="31"/>
        <v>330.36118400529068</v>
      </c>
      <c r="T26" s="212">
        <f t="shared" ca="1" si="31"/>
        <v>332.51608400043028</v>
      </c>
      <c r="U26" s="212">
        <f t="shared" ca="1" si="31"/>
        <v>334.68504010813348</v>
      </c>
      <c r="V26" s="211">
        <f t="shared" ca="1" si="31"/>
        <v>336.8681440144652</v>
      </c>
      <c r="W26" s="212">
        <f t="shared" ca="1" si="31"/>
        <v>339.0654880035454</v>
      </c>
      <c r="X26" s="213">
        <f t="shared" ca="1" si="31"/>
        <v>341.27716496145081</v>
      </c>
      <c r="Y26" s="213">
        <f t="shared" ca="1" si="31"/>
        <v>343.50326838014098</v>
      </c>
      <c r="Z26" s="213">
        <f t="shared" ca="1" si="31"/>
        <v>345.7438923614103</v>
      </c>
      <c r="AA26" s="213">
        <f t="shared" ca="1" si="31"/>
        <v>347.99913162086648</v>
      </c>
      <c r="AB26" s="213">
        <f t="shared" ca="1" si="31"/>
        <v>350.2690814919336</v>
      </c>
      <c r="AC26" s="212">
        <f t="shared" ca="1" si="31"/>
        <v>352.55383792988243</v>
      </c>
      <c r="AD26" s="212">
        <f t="shared" ca="1" si="31"/>
        <v>354.85349751588689</v>
      </c>
      <c r="AE26" s="212">
        <f t="shared" ca="1" si="31"/>
        <v>357.16815746110609</v>
      </c>
      <c r="AF26" s="212">
        <f t="shared" ca="1" si="31"/>
        <v>359.49791561079428</v>
      </c>
      <c r="AG26" s="212">
        <f t="shared" ca="1" si="31"/>
        <v>361.84287044843637</v>
      </c>
      <c r="AH26" s="211">
        <f t="shared" ca="1" si="31"/>
        <v>364.2031210999117</v>
      </c>
      <c r="AI26" s="212">
        <f t="shared" ca="1" si="31"/>
        <v>366.57876733768359</v>
      </c>
      <c r="AJ26" s="213">
        <f t="shared" ca="1" si="31"/>
        <v>368.96990958501732</v>
      </c>
      <c r="AK26" s="213">
        <f t="shared" ca="1" si="31"/>
        <v>371.37664892022525</v>
      </c>
      <c r="AL26" s="213">
        <f t="shared" ca="1" si="31"/>
        <v>373.79908708093944</v>
      </c>
      <c r="AM26" s="213">
        <f t="shared" ca="1" si="31"/>
        <v>376.23732646841239</v>
      </c>
      <c r="AN26" s="213">
        <f t="shared" ca="1" si="31"/>
        <v>378.69147015184569</v>
      </c>
      <c r="AO26" s="212">
        <f t="shared" ca="1" si="31"/>
        <v>381.16162187274688</v>
      </c>
      <c r="AP26" s="212">
        <f t="shared" ca="1" si="31"/>
        <v>383.64788604931493</v>
      </c>
      <c r="AQ26" s="212">
        <f t="shared" ca="1" si="31"/>
        <v>386.15036778085437</v>
      </c>
      <c r="AR26" s="212">
        <f t="shared" ca="1" si="31"/>
        <v>388.66917285221763</v>
      </c>
      <c r="AS26" s="212">
        <f t="shared" ca="1" si="31"/>
        <v>391.20440773827715</v>
      </c>
      <c r="AT26" s="211">
        <f t="shared" ca="1" si="31"/>
        <v>393.75617960842612</v>
      </c>
      <c r="AU26" s="212">
        <f t="shared" ca="1" si="31"/>
        <v>396.32459633110858</v>
      </c>
      <c r="AV26" s="213">
        <f t="shared" ca="1" si="31"/>
        <v>398.90976647837971</v>
      </c>
      <c r="AW26" s="213">
        <f t="shared" ca="1" si="31"/>
        <v>401.5117993304948</v>
      </c>
      <c r="AX26" s="213">
        <f t="shared" ca="1" si="31"/>
        <v>404.13080488052907</v>
      </c>
      <c r="AY26" s="213">
        <f t="shared" ca="1" si="31"/>
        <v>406.76689383902749</v>
      </c>
      <c r="AZ26" s="213">
        <f t="shared" ca="1" si="31"/>
        <v>409.42017763868415</v>
      </c>
      <c r="BA26" s="212">
        <f t="shared" ca="1" si="31"/>
        <v>412.09076843905348</v>
      </c>
      <c r="BB26" s="212">
        <f t="shared" ca="1" si="31"/>
        <v>414.77877913129083</v>
      </c>
      <c r="BC26" s="212">
        <f t="shared" ca="1" si="31"/>
        <v>417.48432334292465</v>
      </c>
      <c r="BD26" s="212">
        <f t="shared" ca="1" si="31"/>
        <v>420.20751544266028</v>
      </c>
      <c r="BE26" s="212">
        <f t="shared" ca="1" si="31"/>
        <v>422.94847054521409</v>
      </c>
      <c r="BF26" s="211">
        <f t="shared" ca="1" si="31"/>
        <v>425.70730451617959</v>
      </c>
      <c r="BG26" s="212">
        <f t="shared" ca="1" si="31"/>
        <v>428.48413397692553</v>
      </c>
      <c r="BH26" s="213">
        <f t="shared" ca="1" si="31"/>
        <v>431.27907630952558</v>
      </c>
      <c r="BI26" s="213">
        <f t="shared" ca="1" si="31"/>
        <v>434.0922496617203</v>
      </c>
      <c r="BJ26" s="213">
        <f t="shared" ca="1" si="31"/>
        <v>436.9237729519117</v>
      </c>
      <c r="BK26" s="213">
        <f t="shared" ca="1" si="31"/>
        <v>439.77376587418962</v>
      </c>
      <c r="BL26" s="213">
        <f t="shared" ca="1" si="31"/>
        <v>442.64234890339208</v>
      </c>
      <c r="BM26" s="212">
        <f t="shared" ca="1" si="31"/>
        <v>445.52964330019756</v>
      </c>
      <c r="BN26" s="212">
        <f t="shared" ca="1" si="31"/>
        <v>448.43577111625103</v>
      </c>
      <c r="BO26" s="212">
        <f t="shared" ca="1" si="31"/>
        <v>451.36085519932345</v>
      </c>
      <c r="BP26" s="212">
        <f t="shared" ca="1" si="31"/>
        <v>454.30501919850445</v>
      </c>
      <c r="BQ26" s="212">
        <f t="shared" ca="1" si="31"/>
        <v>457.26838756942988</v>
      </c>
      <c r="BR26" s="211">
        <f t="shared" ca="1" si="31"/>
        <v>460.25108557954206</v>
      </c>
    </row>
    <row r="27" spans="1:70" ht="13.2" x14ac:dyDescent="0.3">
      <c r="C27" s="240" t="s">
        <v>183</v>
      </c>
      <c r="D27" s="14"/>
      <c r="E27" s="211">
        <f ca="1">V27</f>
        <v>518.01533136845273</v>
      </c>
      <c r="F27" s="211">
        <f ca="1">AH27</f>
        <v>560.04939562909249</v>
      </c>
      <c r="G27" s="211">
        <f ca="1">AT27</f>
        <v>605.49429051823881</v>
      </c>
      <c r="H27" s="211">
        <f ca="1">BF27</f>
        <v>654.62678597905642</v>
      </c>
      <c r="I27" s="211">
        <f ca="1">BR27</f>
        <v>707.74611029690743</v>
      </c>
      <c r="J27" s="248"/>
      <c r="K27" s="213">
        <f ca="1">K21-SUM(K22,K26)</f>
        <v>316.74253413688035</v>
      </c>
      <c r="L27" s="213">
        <f t="shared" ref="L27:BR27" ca="1" si="32">K27+L21-SUM(L22,L26)</f>
        <v>468.84453879827788</v>
      </c>
      <c r="M27" s="213">
        <f t="shared" ca="1" si="32"/>
        <v>488.57340612210464</v>
      </c>
      <c r="N27" s="213">
        <f t="shared" ca="1" si="32"/>
        <v>491.76030240850673</v>
      </c>
      <c r="O27" s="213">
        <f t="shared" ca="1" si="32"/>
        <v>494.96798637555827</v>
      </c>
      <c r="P27" s="213">
        <f t="shared" ca="1" si="32"/>
        <v>498.19659361840513</v>
      </c>
      <c r="Q27" s="213">
        <f t="shared" ca="1" si="32"/>
        <v>501.44626061666139</v>
      </c>
      <c r="R27" s="213">
        <f t="shared" ca="1" si="32"/>
        <v>504.71712474017869</v>
      </c>
      <c r="S27" s="213">
        <f t="shared" ca="1" si="32"/>
        <v>508.00932425485308</v>
      </c>
      <c r="T27" s="213">
        <f t="shared" ca="1" si="32"/>
        <v>511.32299832846979</v>
      </c>
      <c r="U27" s="213">
        <f t="shared" ca="1" si="32"/>
        <v>514.65828703658622</v>
      </c>
      <c r="V27" s="211">
        <f t="shared" ca="1" si="32"/>
        <v>518.01533136845273</v>
      </c>
      <c r="W27" s="213">
        <f t="shared" ca="1" si="32"/>
        <v>521.39427323297355</v>
      </c>
      <c r="X27" s="213">
        <f t="shared" ca="1" si="32"/>
        <v>524.79525546470438</v>
      </c>
      <c r="Y27" s="213">
        <f t="shared" ca="1" si="32"/>
        <v>528.21842182989099</v>
      </c>
      <c r="Z27" s="213">
        <f t="shared" ca="1" si="32"/>
        <v>531.66391703254658</v>
      </c>
      <c r="AA27" s="213">
        <f t="shared" ca="1" si="32"/>
        <v>535.13188672056822</v>
      </c>
      <c r="AB27" s="213">
        <f t="shared" ca="1" si="32"/>
        <v>538.62247749189407</v>
      </c>
      <c r="AC27" s="213">
        <f t="shared" ca="1" si="32"/>
        <v>542.13583690070027</v>
      </c>
      <c r="AD27" s="213">
        <f t="shared" ca="1" si="32"/>
        <v>545.67211346363808</v>
      </c>
      <c r="AE27" s="213">
        <f t="shared" ca="1" si="32"/>
        <v>549.23145666611254</v>
      </c>
      <c r="AF27" s="213">
        <f t="shared" ca="1" si="32"/>
        <v>552.81401696860053</v>
      </c>
      <c r="AG27" s="213">
        <f t="shared" ca="1" si="32"/>
        <v>556.41994581301242</v>
      </c>
      <c r="AH27" s="211">
        <f t="shared" ca="1" si="32"/>
        <v>560.04939562909249</v>
      </c>
      <c r="AI27" s="213">
        <f t="shared" ca="1" si="32"/>
        <v>563.70251984086326</v>
      </c>
      <c r="AJ27" s="213">
        <f t="shared" ca="1" si="32"/>
        <v>567.37947287311101</v>
      </c>
      <c r="AK27" s="213">
        <f t="shared" ca="1" si="32"/>
        <v>571.08041015791309</v>
      </c>
      <c r="AL27" s="213">
        <f t="shared" ca="1" si="32"/>
        <v>574.8054881412088</v>
      </c>
      <c r="AM27" s="213">
        <f t="shared" ca="1" si="32"/>
        <v>578.55486428941231</v>
      </c>
      <c r="AN27" s="213">
        <f t="shared" ca="1" si="32"/>
        <v>582.32869709606939</v>
      </c>
      <c r="AO27" s="213">
        <f t="shared" ca="1" si="32"/>
        <v>586.12714608855708</v>
      </c>
      <c r="AP27" s="213">
        <f t="shared" ca="1" si="32"/>
        <v>589.95037183482759</v>
      </c>
      <c r="AQ27" s="213">
        <f t="shared" ca="1" si="32"/>
        <v>593.79853595019495</v>
      </c>
      <c r="AR27" s="213">
        <f t="shared" ca="1" si="32"/>
        <v>597.67180110416803</v>
      </c>
      <c r="AS27" s="213">
        <f t="shared" ca="1" si="32"/>
        <v>601.57033102732566</v>
      </c>
      <c r="AT27" s="211">
        <f t="shared" ca="1" si="32"/>
        <v>605.49429051823881</v>
      </c>
      <c r="AU27" s="213">
        <f t="shared" ca="1" si="32"/>
        <v>609.4438454504367</v>
      </c>
      <c r="AV27" s="213">
        <f t="shared" ca="1" si="32"/>
        <v>613.419162779418</v>
      </c>
      <c r="AW27" s="213">
        <f t="shared" ca="1" si="32"/>
        <v>617.420410549709</v>
      </c>
      <c r="AX27" s="213">
        <f t="shared" ca="1" si="32"/>
        <v>621.44775790196741</v>
      </c>
      <c r="AY27" s="213">
        <f t="shared" ca="1" si="32"/>
        <v>625.50137508013131</v>
      </c>
      <c r="AZ27" s="213">
        <f t="shared" ca="1" si="32"/>
        <v>629.58143343861684</v>
      </c>
      <c r="BA27" s="213">
        <f t="shared" ca="1" si="32"/>
        <v>633.68810544956091</v>
      </c>
      <c r="BB27" s="213">
        <f t="shared" ca="1" si="32"/>
        <v>637.82156471011172</v>
      </c>
      <c r="BC27" s="213">
        <f t="shared" ca="1" si="32"/>
        <v>641.98198594976861</v>
      </c>
      <c r="BD27" s="213">
        <f t="shared" ca="1" si="32"/>
        <v>646.16954503776583</v>
      </c>
      <c r="BE27" s="213">
        <f t="shared" ca="1" si="32"/>
        <v>650.38441899050895</v>
      </c>
      <c r="BF27" s="211">
        <f t="shared" ca="1" si="32"/>
        <v>654.62678597905642</v>
      </c>
      <c r="BG27" s="213">
        <f t="shared" ca="1" si="32"/>
        <v>658.89682533665223</v>
      </c>
      <c r="BH27" s="213">
        <f t="shared" ca="1" si="32"/>
        <v>663.1947175663056</v>
      </c>
      <c r="BI27" s="213">
        <f t="shared" ca="1" si="32"/>
        <v>667.52064434842214</v>
      </c>
      <c r="BJ27" s="213">
        <f t="shared" ca="1" si="32"/>
        <v>671.87478854848325</v>
      </c>
      <c r="BK27" s="213">
        <f t="shared" ca="1" si="32"/>
        <v>676.25733422477674</v>
      </c>
      <c r="BL27" s="213">
        <f t="shared" ca="1" si="32"/>
        <v>680.66846663617616</v>
      </c>
      <c r="BM27" s="213">
        <f t="shared" ca="1" si="32"/>
        <v>685.10837224997385</v>
      </c>
      <c r="BN27" s="213">
        <f t="shared" ca="1" si="32"/>
        <v>689.57723874976193</v>
      </c>
      <c r="BO27" s="213">
        <f t="shared" ca="1" si="32"/>
        <v>694.07525504336627</v>
      </c>
      <c r="BP27" s="213">
        <f t="shared" ca="1" si="32"/>
        <v>698.60261127083243</v>
      </c>
      <c r="BQ27" s="213">
        <f t="shared" ca="1" si="32"/>
        <v>703.15949881246308</v>
      </c>
      <c r="BR27" s="211">
        <f t="shared" ca="1" si="32"/>
        <v>707.74611029690743</v>
      </c>
    </row>
    <row r="28" spans="1:70" ht="13.2" x14ac:dyDescent="0.3">
      <c r="C28" s="240" t="s">
        <v>240</v>
      </c>
      <c r="D28" s="14"/>
      <c r="E28" s="211">
        <f ca="1">V28</f>
        <v>77.702299705267905</v>
      </c>
      <c r="F28" s="211">
        <f ca="1">AH28</f>
        <v>84.007409344363865</v>
      </c>
      <c r="G28" s="211">
        <f ca="1">AT28</f>
        <v>90.824143577735825</v>
      </c>
      <c r="H28" s="211">
        <f ca="1">BF28</f>
        <v>98.194017896858455</v>
      </c>
      <c r="I28" s="211">
        <f ca="1">BR28</f>
        <v>106.16191654453611</v>
      </c>
      <c r="J28" s="248"/>
      <c r="K28" s="213">
        <f ca="1">K27*InventoryPct</f>
        <v>47.511380120532053</v>
      </c>
      <c r="L28" s="213">
        <f t="shared" ref="L28:AP28" ca="1" si="33">L27*InventoryPct</f>
        <v>70.326680819741682</v>
      </c>
      <c r="M28" s="213">
        <f t="shared" ca="1" si="33"/>
        <v>73.286010918315696</v>
      </c>
      <c r="N28" s="213">
        <f t="shared" ca="1" si="33"/>
        <v>73.764045361276004</v>
      </c>
      <c r="O28" s="213">
        <f t="shared" ca="1" si="33"/>
        <v>74.24519795633374</v>
      </c>
      <c r="P28" s="213">
        <f ca="1">P27*InventoryPct</f>
        <v>74.729489042760761</v>
      </c>
      <c r="Q28" s="213">
        <f t="shared" ca="1" si="33"/>
        <v>75.216939092499203</v>
      </c>
      <c r="R28" s="213">
        <f t="shared" ca="1" si="33"/>
        <v>75.707568711026795</v>
      </c>
      <c r="S28" s="213">
        <f t="shared" ca="1" si="33"/>
        <v>76.201398638227957</v>
      </c>
      <c r="T28" s="213">
        <f t="shared" ca="1" si="33"/>
        <v>76.698449749270466</v>
      </c>
      <c r="U28" s="213">
        <f t="shared" ca="1" si="33"/>
        <v>77.198743055487924</v>
      </c>
      <c r="V28" s="211">
        <f t="shared" ca="1" si="33"/>
        <v>77.702299705267905</v>
      </c>
      <c r="W28" s="213">
        <f t="shared" ca="1" si="33"/>
        <v>78.209140984946032</v>
      </c>
      <c r="X28" s="213">
        <f t="shared" ca="1" si="33"/>
        <v>78.719288319705655</v>
      </c>
      <c r="Y28" s="213">
        <f t="shared" ca="1" si="33"/>
        <v>79.232763274483645</v>
      </c>
      <c r="Z28" s="213">
        <f t="shared" ca="1" si="33"/>
        <v>79.749587554881984</v>
      </c>
      <c r="AA28" s="213">
        <f t="shared" ca="1" si="33"/>
        <v>80.269783008085227</v>
      </c>
      <c r="AB28" s="213">
        <f t="shared" ca="1" si="33"/>
        <v>80.793371623784111</v>
      </c>
      <c r="AC28" s="213">
        <f t="shared" ca="1" si="33"/>
        <v>81.320375535105043</v>
      </c>
      <c r="AD28" s="213">
        <f t="shared" ca="1" si="33"/>
        <v>81.850817019545715</v>
      </c>
      <c r="AE28" s="213">
        <f t="shared" ca="1" si="33"/>
        <v>82.384718499916872</v>
      </c>
      <c r="AF28" s="213">
        <f t="shared" ca="1" si="33"/>
        <v>82.922102545290073</v>
      </c>
      <c r="AG28" s="213">
        <f t="shared" ca="1" si="33"/>
        <v>83.462991871951857</v>
      </c>
      <c r="AH28" s="211">
        <f t="shared" ca="1" si="33"/>
        <v>84.007409344363865</v>
      </c>
      <c r="AI28" s="213">
        <f t="shared" ca="1" si="33"/>
        <v>84.555377976129492</v>
      </c>
      <c r="AJ28" s="213">
        <f t="shared" ca="1" si="33"/>
        <v>85.106920930966652</v>
      </c>
      <c r="AK28" s="213">
        <f t="shared" ca="1" si="33"/>
        <v>85.662061523686958</v>
      </c>
      <c r="AL28" s="213">
        <f t="shared" ca="1" si="33"/>
        <v>86.22082322118132</v>
      </c>
      <c r="AM28" s="213">
        <f t="shared" ca="1" si="33"/>
        <v>86.783229643411843</v>
      </c>
      <c r="AN28" s="213">
        <f t="shared" ca="1" si="33"/>
        <v>87.349304564410403</v>
      </c>
      <c r="AO28" s="213">
        <f t="shared" ca="1" si="33"/>
        <v>87.91907191328356</v>
      </c>
      <c r="AP28" s="213">
        <f t="shared" ca="1" si="33"/>
        <v>88.492555775224133</v>
      </c>
      <c r="AQ28" s="213">
        <f t="shared" ref="AQ28:BR28" ca="1" si="34">AQ27*InventoryPct</f>
        <v>89.069780392529239</v>
      </c>
      <c r="AR28" s="213">
        <f t="shared" ca="1" si="34"/>
        <v>89.650770165625204</v>
      </c>
      <c r="AS28" s="213">
        <f t="shared" ca="1" si="34"/>
        <v>90.235549654098847</v>
      </c>
      <c r="AT28" s="211">
        <f t="shared" ca="1" si="34"/>
        <v>90.824143577735825</v>
      </c>
      <c r="AU28" s="213">
        <f t="shared" ca="1" si="34"/>
        <v>91.416576817565499</v>
      </c>
      <c r="AV28" s="213">
        <f t="shared" ca="1" si="34"/>
        <v>92.012874416912695</v>
      </c>
      <c r="AW28" s="213">
        <f t="shared" ca="1" si="34"/>
        <v>92.613061582456353</v>
      </c>
      <c r="AX28" s="213">
        <f t="shared" ca="1" si="34"/>
        <v>93.217163685295105</v>
      </c>
      <c r="AY28" s="213">
        <f t="shared" ca="1" si="34"/>
        <v>93.825206262019691</v>
      </c>
      <c r="AZ28" s="213">
        <f t="shared" ca="1" si="34"/>
        <v>94.437215015792518</v>
      </c>
      <c r="BA28" s="213">
        <f t="shared" ca="1" si="34"/>
        <v>95.053215817434136</v>
      </c>
      <c r="BB28" s="213">
        <f t="shared" ca="1" si="34"/>
        <v>95.673234706516752</v>
      </c>
      <c r="BC28" s="213">
        <f t="shared" ca="1" si="34"/>
        <v>96.297297892465295</v>
      </c>
      <c r="BD28" s="213">
        <f t="shared" ca="1" si="34"/>
        <v>96.925431755664874</v>
      </c>
      <c r="BE28" s="213">
        <f t="shared" ca="1" si="34"/>
        <v>97.557662848576342</v>
      </c>
      <c r="BF28" s="211">
        <f t="shared" ca="1" si="34"/>
        <v>98.194017896858455</v>
      </c>
      <c r="BG28" s="213">
        <f t="shared" ca="1" si="34"/>
        <v>98.834523800497834</v>
      </c>
      <c r="BH28" s="213">
        <f t="shared" ca="1" si="34"/>
        <v>99.479207634945837</v>
      </c>
      <c r="BI28" s="213">
        <f t="shared" ca="1" si="34"/>
        <v>100.12809665226332</v>
      </c>
      <c r="BJ28" s="213">
        <f t="shared" ca="1" si="34"/>
        <v>100.78121828227249</v>
      </c>
      <c r="BK28" s="213">
        <f t="shared" ca="1" si="34"/>
        <v>101.43860013371651</v>
      </c>
      <c r="BL28" s="213">
        <f t="shared" ca="1" si="34"/>
        <v>102.10026999542642</v>
      </c>
      <c r="BM28" s="213">
        <f t="shared" ca="1" si="34"/>
        <v>102.76625583749608</v>
      </c>
      <c r="BN28" s="213">
        <f t="shared" ca="1" si="34"/>
        <v>103.43658581246429</v>
      </c>
      <c r="BO28" s="213">
        <f t="shared" ca="1" si="34"/>
        <v>104.11128825650493</v>
      </c>
      <c r="BP28" s="213">
        <f t="shared" ca="1" si="34"/>
        <v>104.79039169062486</v>
      </c>
      <c r="BQ28" s="213">
        <f t="shared" ca="1" si="34"/>
        <v>105.47392482186946</v>
      </c>
      <c r="BR28" s="211">
        <f t="shared" ca="1" si="34"/>
        <v>106.16191654453611</v>
      </c>
    </row>
    <row r="29" spans="1:70" ht="13.2" x14ac:dyDescent="0.3">
      <c r="B29" s="34"/>
      <c r="C29" s="185" t="s">
        <v>241</v>
      </c>
      <c r="D29" s="14"/>
      <c r="E29" s="211">
        <f t="shared" ref="E29:E32" si="35">SUM(K29:V29)</f>
        <v>190</v>
      </c>
      <c r="F29" s="211">
        <f t="shared" ref="F29:F41" si="36">SUM(W29:AH29)</f>
        <v>0</v>
      </c>
      <c r="G29" s="211">
        <f t="shared" ref="G29:G41" si="37">SUM(AI29:AT29)</f>
        <v>0</v>
      </c>
      <c r="H29" s="211">
        <f t="shared" ref="H29:H41" si="38">SUM(AU29:BF29)</f>
        <v>0</v>
      </c>
      <c r="I29" s="211">
        <f t="shared" ref="I29:I41" si="39">SUM(BG29:BR29)</f>
        <v>0</v>
      </c>
      <c r="J29" s="248"/>
      <c r="K29" s="212">
        <f>CapEx!K12</f>
        <v>40</v>
      </c>
      <c r="L29" s="213">
        <f>CapEx!L12</f>
        <v>0</v>
      </c>
      <c r="M29" s="213">
        <f>CapEx!M12</f>
        <v>50</v>
      </c>
      <c r="N29" s="213">
        <f>CapEx!N12</f>
        <v>0</v>
      </c>
      <c r="O29" s="213">
        <f>CapEx!O12</f>
        <v>0</v>
      </c>
      <c r="P29" s="213">
        <f>CapEx!P12</f>
        <v>100</v>
      </c>
      <c r="Q29" s="212">
        <f>CapEx!Q12</f>
        <v>0</v>
      </c>
      <c r="R29" s="212">
        <f>CapEx!R12</f>
        <v>0</v>
      </c>
      <c r="S29" s="212">
        <f>CapEx!S12</f>
        <v>0</v>
      </c>
      <c r="T29" s="212">
        <f>CapEx!T12</f>
        <v>0</v>
      </c>
      <c r="U29" s="212">
        <f>CapEx!U12</f>
        <v>0</v>
      </c>
      <c r="V29" s="211">
        <f>CapEx!V12</f>
        <v>0</v>
      </c>
      <c r="W29" s="212">
        <f>CapEx!W12</f>
        <v>0</v>
      </c>
      <c r="X29" s="213">
        <f>CapEx!X12</f>
        <v>0</v>
      </c>
      <c r="Y29" s="213">
        <f>CapEx!Y12</f>
        <v>0</v>
      </c>
      <c r="Z29" s="213">
        <f>CapEx!Z12</f>
        <v>0</v>
      </c>
      <c r="AA29" s="213">
        <f>CapEx!AA12</f>
        <v>0</v>
      </c>
      <c r="AB29" s="213">
        <f>CapEx!AB12</f>
        <v>0</v>
      </c>
      <c r="AC29" s="212">
        <f>CapEx!AC12</f>
        <v>0</v>
      </c>
      <c r="AD29" s="212">
        <f>CapEx!AD12</f>
        <v>0</v>
      </c>
      <c r="AE29" s="212">
        <f>CapEx!AE12</f>
        <v>0</v>
      </c>
      <c r="AF29" s="212">
        <f>CapEx!AF12</f>
        <v>0</v>
      </c>
      <c r="AG29" s="212">
        <f>CapEx!AG12</f>
        <v>0</v>
      </c>
      <c r="AH29" s="211">
        <f>CapEx!AH12</f>
        <v>0</v>
      </c>
      <c r="AI29" s="212">
        <f>CapEx!AI12</f>
        <v>0</v>
      </c>
      <c r="AJ29" s="213">
        <f>CapEx!AJ12</f>
        <v>0</v>
      </c>
      <c r="AK29" s="213">
        <f>CapEx!AK12</f>
        <v>0</v>
      </c>
      <c r="AL29" s="213">
        <f>CapEx!AL12</f>
        <v>0</v>
      </c>
      <c r="AM29" s="213">
        <f>CapEx!AM12</f>
        <v>0</v>
      </c>
      <c r="AN29" s="213">
        <f>CapEx!AN12</f>
        <v>0</v>
      </c>
      <c r="AO29" s="212">
        <f>CapEx!AO12</f>
        <v>0</v>
      </c>
      <c r="AP29" s="212">
        <f>CapEx!AP12</f>
        <v>0</v>
      </c>
      <c r="AQ29" s="212">
        <f>CapEx!AQ12</f>
        <v>0</v>
      </c>
      <c r="AR29" s="212">
        <f>CapEx!AR12</f>
        <v>0</v>
      </c>
      <c r="AS29" s="212">
        <f>CapEx!AS12</f>
        <v>0</v>
      </c>
      <c r="AT29" s="211">
        <f>CapEx!AT12</f>
        <v>0</v>
      </c>
      <c r="AU29" s="212">
        <f>CapEx!AU12</f>
        <v>0</v>
      </c>
      <c r="AV29" s="213">
        <f>CapEx!AV12</f>
        <v>0</v>
      </c>
      <c r="AW29" s="213">
        <f>CapEx!AW12</f>
        <v>0</v>
      </c>
      <c r="AX29" s="213">
        <f>CapEx!AX12</f>
        <v>0</v>
      </c>
      <c r="AY29" s="213">
        <f>CapEx!AY12</f>
        <v>0</v>
      </c>
      <c r="AZ29" s="213">
        <f>CapEx!AZ12</f>
        <v>0</v>
      </c>
      <c r="BA29" s="212">
        <f>CapEx!BA12</f>
        <v>0</v>
      </c>
      <c r="BB29" s="212">
        <f>CapEx!BB12</f>
        <v>0</v>
      </c>
      <c r="BC29" s="212">
        <f>CapEx!BC12</f>
        <v>0</v>
      </c>
      <c r="BD29" s="212">
        <f>CapEx!BD12</f>
        <v>0</v>
      </c>
      <c r="BE29" s="212">
        <f>CapEx!BE12</f>
        <v>0</v>
      </c>
      <c r="BF29" s="211">
        <f>CapEx!BF12</f>
        <v>0</v>
      </c>
      <c r="BG29" s="212">
        <f>CapEx!BG12</f>
        <v>0</v>
      </c>
      <c r="BH29" s="213">
        <f>CapEx!BH12</f>
        <v>0</v>
      </c>
      <c r="BI29" s="213">
        <f>CapEx!BI12</f>
        <v>0</v>
      </c>
      <c r="BJ29" s="213">
        <f>CapEx!BJ12</f>
        <v>0</v>
      </c>
      <c r="BK29" s="213">
        <f>CapEx!BK12</f>
        <v>0</v>
      </c>
      <c r="BL29" s="213">
        <f>CapEx!BL12</f>
        <v>0</v>
      </c>
      <c r="BM29" s="212">
        <f>CapEx!BM12</f>
        <v>0</v>
      </c>
      <c r="BN29" s="212">
        <f>CapEx!BN12</f>
        <v>0</v>
      </c>
      <c r="BO29" s="212">
        <f>CapEx!BO12</f>
        <v>0</v>
      </c>
      <c r="BP29" s="212">
        <f>CapEx!BP12</f>
        <v>0</v>
      </c>
      <c r="BQ29" s="212">
        <f>CapEx!BQ12</f>
        <v>0</v>
      </c>
      <c r="BR29" s="211">
        <f>CapEx!BR12</f>
        <v>0</v>
      </c>
    </row>
    <row r="30" spans="1:70" ht="13.2" hidden="1" x14ac:dyDescent="0.3">
      <c r="C30" s="272" t="s">
        <v>60</v>
      </c>
      <c r="D30" s="14"/>
      <c r="E30" s="212">
        <f t="shared" si="35"/>
        <v>404.49999999999994</v>
      </c>
      <c r="F30" s="212">
        <f t="shared" si="36"/>
        <v>409.84517857142868</v>
      </c>
      <c r="G30" s="212">
        <f t="shared" si="37"/>
        <v>415.26098985969378</v>
      </c>
      <c r="H30" s="212">
        <f t="shared" si="38"/>
        <v>420.748367225697</v>
      </c>
      <c r="I30" s="212">
        <f t="shared" si="39"/>
        <v>426.30825636403637</v>
      </c>
      <c r="J30" s="248"/>
      <c r="K30" s="212">
        <f>Income!K11</f>
        <v>33.708333333333336</v>
      </c>
      <c r="L30" s="213">
        <f>Income!L11</f>
        <v>33.708333333333336</v>
      </c>
      <c r="M30" s="213">
        <f>Income!M11</f>
        <v>33.708333333333336</v>
      </c>
      <c r="N30" s="213">
        <f>Income!N11</f>
        <v>33.708333333333336</v>
      </c>
      <c r="O30" s="213">
        <f>Income!O11</f>
        <v>33.708333333333336</v>
      </c>
      <c r="P30" s="213">
        <f>Income!P11</f>
        <v>33.708333333333336</v>
      </c>
      <c r="Q30" s="212">
        <f>Income!Q11</f>
        <v>33.708333333333336</v>
      </c>
      <c r="R30" s="212">
        <f>Income!R11</f>
        <v>33.708333333333336</v>
      </c>
      <c r="S30" s="212">
        <f>Income!S11</f>
        <v>33.708333333333336</v>
      </c>
      <c r="T30" s="212">
        <f>Income!T11</f>
        <v>33.708333333333336</v>
      </c>
      <c r="U30" s="212">
        <f>Income!U11</f>
        <v>33.708333333333336</v>
      </c>
      <c r="V30" s="212">
        <f>Income!V11</f>
        <v>33.708333333333336</v>
      </c>
      <c r="W30" s="212">
        <f>Income!W11</f>
        <v>34.15376488095238</v>
      </c>
      <c r="X30" s="213">
        <f>Income!X11</f>
        <v>34.15376488095238</v>
      </c>
      <c r="Y30" s="213">
        <f>Income!Y11</f>
        <v>34.15376488095238</v>
      </c>
      <c r="Z30" s="213">
        <f>Income!Z11</f>
        <v>34.15376488095238</v>
      </c>
      <c r="AA30" s="213">
        <f>Income!AA11</f>
        <v>34.15376488095238</v>
      </c>
      <c r="AB30" s="213">
        <f>Income!AB11</f>
        <v>34.15376488095238</v>
      </c>
      <c r="AC30" s="212">
        <f>Income!AC11</f>
        <v>34.15376488095238</v>
      </c>
      <c r="AD30" s="212">
        <f>Income!AD11</f>
        <v>34.15376488095238</v>
      </c>
      <c r="AE30" s="212">
        <f>Income!AE11</f>
        <v>34.15376488095238</v>
      </c>
      <c r="AF30" s="212">
        <f>Income!AF11</f>
        <v>34.15376488095238</v>
      </c>
      <c r="AG30" s="212">
        <f>Income!AG11</f>
        <v>34.15376488095238</v>
      </c>
      <c r="AH30" s="212">
        <f>Income!AH11</f>
        <v>34.15376488095238</v>
      </c>
      <c r="AI30" s="212">
        <f>Income!AI11</f>
        <v>34.605082488307822</v>
      </c>
      <c r="AJ30" s="213">
        <f>Income!AJ11</f>
        <v>34.605082488307822</v>
      </c>
      <c r="AK30" s="213">
        <f>Income!AK11</f>
        <v>34.605082488307822</v>
      </c>
      <c r="AL30" s="213">
        <f>Income!AL11</f>
        <v>34.605082488307822</v>
      </c>
      <c r="AM30" s="213">
        <f>Income!AM11</f>
        <v>34.605082488307822</v>
      </c>
      <c r="AN30" s="213">
        <f>Income!AN11</f>
        <v>34.605082488307822</v>
      </c>
      <c r="AO30" s="212">
        <f>Income!AO11</f>
        <v>34.605082488307822</v>
      </c>
      <c r="AP30" s="212">
        <f>Income!AP11</f>
        <v>34.605082488307822</v>
      </c>
      <c r="AQ30" s="212">
        <f>Income!AQ11</f>
        <v>34.605082488307822</v>
      </c>
      <c r="AR30" s="212">
        <f>Income!AR11</f>
        <v>34.605082488307822</v>
      </c>
      <c r="AS30" s="212">
        <f>Income!AS11</f>
        <v>34.605082488307822</v>
      </c>
      <c r="AT30" s="212">
        <f>Income!AT11</f>
        <v>34.605082488307822</v>
      </c>
      <c r="AU30" s="212">
        <f>Income!AU11</f>
        <v>35.062363935474743</v>
      </c>
      <c r="AV30" s="213">
        <f>Income!AV11</f>
        <v>35.062363935474743</v>
      </c>
      <c r="AW30" s="213">
        <f>Income!AW11</f>
        <v>35.062363935474743</v>
      </c>
      <c r="AX30" s="213">
        <f>Income!AX11</f>
        <v>35.062363935474743</v>
      </c>
      <c r="AY30" s="213">
        <f>Income!AY11</f>
        <v>35.062363935474743</v>
      </c>
      <c r="AZ30" s="213">
        <f>Income!AZ11</f>
        <v>35.062363935474743</v>
      </c>
      <c r="BA30" s="212">
        <f>Income!BA11</f>
        <v>35.062363935474743</v>
      </c>
      <c r="BB30" s="212">
        <f>Income!BB11</f>
        <v>35.062363935474743</v>
      </c>
      <c r="BC30" s="212">
        <f>Income!BC11</f>
        <v>35.062363935474743</v>
      </c>
      <c r="BD30" s="212">
        <f>Income!BD11</f>
        <v>35.062363935474743</v>
      </c>
      <c r="BE30" s="212">
        <f>Income!BE11</f>
        <v>35.062363935474743</v>
      </c>
      <c r="BF30" s="212">
        <f>Income!BF11</f>
        <v>35.062363935474743</v>
      </c>
      <c r="BG30" s="212">
        <f>Income!BG11</f>
        <v>35.525688030336362</v>
      </c>
      <c r="BH30" s="213">
        <f>Income!BH11</f>
        <v>35.525688030336362</v>
      </c>
      <c r="BI30" s="213">
        <f>Income!BI11</f>
        <v>35.525688030336362</v>
      </c>
      <c r="BJ30" s="213">
        <f>Income!BJ11</f>
        <v>35.525688030336362</v>
      </c>
      <c r="BK30" s="213">
        <f>Income!BK11</f>
        <v>35.525688030336362</v>
      </c>
      <c r="BL30" s="213">
        <f>Income!BL11</f>
        <v>35.525688030336362</v>
      </c>
      <c r="BM30" s="212">
        <f>Income!BM11</f>
        <v>35.525688030336362</v>
      </c>
      <c r="BN30" s="212">
        <f>Income!BN11</f>
        <v>35.525688030336362</v>
      </c>
      <c r="BO30" s="212">
        <f>Income!BO11</f>
        <v>35.525688030336362</v>
      </c>
      <c r="BP30" s="212">
        <f>Income!BP11</f>
        <v>35.525688030336362</v>
      </c>
      <c r="BQ30" s="212">
        <f>Income!BQ11</f>
        <v>35.525688030336362</v>
      </c>
      <c r="BR30" s="212">
        <f>Income!BR11</f>
        <v>35.525688030336362</v>
      </c>
    </row>
    <row r="31" spans="1:70" ht="13.2" hidden="1" x14ac:dyDescent="0.3">
      <c r="C31" s="272" t="s">
        <v>214</v>
      </c>
      <c r="D31" s="14"/>
      <c r="E31" s="212">
        <f ca="1">SUM(K31:V31)</f>
        <v>111.39887811667791</v>
      </c>
      <c r="F31" s="212">
        <f t="shared" ca="1" si="36"/>
        <v>121.17437424987634</v>
      </c>
      <c r="G31" s="212">
        <f t="shared" ca="1" si="37"/>
        <v>131.80769163105978</v>
      </c>
      <c r="H31" s="212">
        <f t="shared" ca="1" si="38"/>
        <v>143.3741059581026</v>
      </c>
      <c r="I31" s="212">
        <f ca="1">SUM(BG31:BR31)</f>
        <v>155.95549853663687</v>
      </c>
      <c r="J31" s="248"/>
      <c r="K31" s="212">
        <f ca="1">Income!K13</f>
        <v>8.9295492728542936</v>
      </c>
      <c r="L31" s="213">
        <f ca="1">Income!L13</f>
        <v>8.9923603512836507</v>
      </c>
      <c r="M31" s="213">
        <f ca="1">Income!M13</f>
        <v>9.0556132472620146</v>
      </c>
      <c r="N31" s="213">
        <f ca="1">Income!N13</f>
        <v>9.1193110685651373</v>
      </c>
      <c r="O31" s="213">
        <f ca="1">Income!O13</f>
        <v>9.1834569448290875</v>
      </c>
      <c r="P31" s="213">
        <f ca="1">Income!P13</f>
        <v>9.2480540277040113</v>
      </c>
      <c r="Q31" s="212">
        <f ca="1">Income!Q13</f>
        <v>9.3131054910089865</v>
      </c>
      <c r="R31" s="212">
        <f ca="1">Income!R13</f>
        <v>9.3786145308879565</v>
      </c>
      <c r="S31" s="212">
        <f ca="1">Income!S13</f>
        <v>9.444584365966767</v>
      </c>
      <c r="T31" s="212">
        <f ca="1">Income!T13</f>
        <v>9.5110182375113048</v>
      </c>
      <c r="U31" s="212">
        <f ca="1">Income!U13</f>
        <v>9.5779194095867499</v>
      </c>
      <c r="V31" s="212">
        <f ca="1">Income!V13</f>
        <v>9.6452911692179359</v>
      </c>
      <c r="W31" s="212">
        <f ca="1">Income!W13</f>
        <v>9.7131368265508851</v>
      </c>
      <c r="X31" s="213">
        <f ca="1">Income!X13</f>
        <v>9.7814597150153926</v>
      </c>
      <c r="Y31" s="213">
        <f ca="1">Income!Y13</f>
        <v>9.8502631914888532</v>
      </c>
      <c r="Z31" s="213">
        <f ca="1">Income!Z13</f>
        <v>9.9195506364611621</v>
      </c>
      <c r="AA31" s="213">
        <f ca="1">Income!AA13</f>
        <v>9.9893254542008219</v>
      </c>
      <c r="AB31" s="213">
        <f ca="1">Income!AB13</f>
        <v>10.059591072922204</v>
      </c>
      <c r="AC31" s="212">
        <f ca="1">Income!AC13</f>
        <v>10.130350944953978</v>
      </c>
      <c r="AD31" s="212">
        <f ca="1">Income!AD13</f>
        <v>10.201608546908732</v>
      </c>
      <c r="AE31" s="212">
        <f ca="1">Income!AE13</f>
        <v>10.273367379853799</v>
      </c>
      <c r="AF31" s="212">
        <f ca="1">Income!AF13</f>
        <v>10.345630969483262</v>
      </c>
      <c r="AG31" s="212">
        <f ca="1">Income!AG13</f>
        <v>10.418402866291181</v>
      </c>
      <c r="AH31" s="212">
        <f ca="1">Income!AH13</f>
        <v>10.491686645746052</v>
      </c>
      <c r="AI31" s="212">
        <f ca="1">Income!AI13</f>
        <v>10.56548590846646</v>
      </c>
      <c r="AJ31" s="213">
        <f ca="1">Income!AJ13</f>
        <v>10.639804280397994</v>
      </c>
      <c r="AK31" s="213">
        <f ca="1">Income!AK13</f>
        <v>10.714645412991409</v>
      </c>
      <c r="AL31" s="213">
        <f ca="1">Income!AL13</f>
        <v>10.790012983382002</v>
      </c>
      <c r="AM31" s="213">
        <f ca="1">Income!AM13</f>
        <v>10.865910694570328</v>
      </c>
      <c r="AN31" s="213">
        <f ca="1">Income!AN13</f>
        <v>10.94234227560408</v>
      </c>
      <c r="AO31" s="212">
        <f ca="1">Income!AO13</f>
        <v>11.019311481761351</v>
      </c>
      <c r="AP31" s="212">
        <f ca="1">Income!AP13</f>
        <v>11.096822094735124</v>
      </c>
      <c r="AQ31" s="212">
        <f ca="1">Income!AQ13</f>
        <v>11.174877922819064</v>
      </c>
      <c r="AR31" s="212">
        <f ca="1">Income!AR13</f>
        <v>11.253482801094664</v>
      </c>
      <c r="AS31" s="212">
        <f ca="1">Income!AS13</f>
        <v>11.332640591619635</v>
      </c>
      <c r="AT31" s="212">
        <f ca="1">Income!AT13</f>
        <v>11.41235518361767</v>
      </c>
      <c r="AU31" s="212">
        <f ca="1">Income!AU13</f>
        <v>11.492630493669546</v>
      </c>
      <c r="AV31" s="213">
        <f ca="1">Income!AV13</f>
        <v>11.573470465905544</v>
      </c>
      <c r="AW31" s="213">
        <f ca="1">Income!AW13</f>
        <v>11.654879072199229</v>
      </c>
      <c r="AX31" s="213">
        <f ca="1">Income!AX13</f>
        <v>11.736860312362603</v>
      </c>
      <c r="AY31" s="213">
        <f ca="1">Income!AY13</f>
        <v>11.81941821434264</v>
      </c>
      <c r="AZ31" s="213">
        <f ca="1">Income!AZ13</f>
        <v>11.902556834419167</v>
      </c>
      <c r="BA31" s="212">
        <f ca="1">Income!BA13</f>
        <v>11.98628025740417</v>
      </c>
      <c r="BB31" s="212">
        <f ca="1">Income!BB13</f>
        <v>12.070592596842483</v>
      </c>
      <c r="BC31" s="212">
        <f ca="1">Income!BC13</f>
        <v>12.155497995213922</v>
      </c>
      <c r="BD31" s="212">
        <f ca="1">Income!BD13</f>
        <v>12.241000624136786</v>
      </c>
      <c r="BE31" s="212">
        <f ca="1">Income!BE13</f>
        <v>12.327104684572831</v>
      </c>
      <c r="BF31" s="212">
        <f ca="1">Income!BF13</f>
        <v>12.413814407033671</v>
      </c>
      <c r="BG31" s="212">
        <f ca="1">Income!BG13</f>
        <v>12.501134051788645</v>
      </c>
      <c r="BH31" s="213">
        <f ca="1">Income!BH13</f>
        <v>12.589067909074123</v>
      </c>
      <c r="BI31" s="213">
        <f ca="1">Income!BI13</f>
        <v>12.677620299304296</v>
      </c>
      <c r="BJ31" s="213">
        <f ca="1">Income!BJ13</f>
        <v>12.766795573283455</v>
      </c>
      <c r="BK31" s="213">
        <f ca="1">Income!BK13</f>
        <v>12.856598112419762</v>
      </c>
      <c r="BL31" s="213">
        <f ca="1">Income!BL13</f>
        <v>12.947032328940505</v>
      </c>
      <c r="BM31" s="212">
        <f ca="1">Income!BM13</f>
        <v>13.038102666108884</v>
      </c>
      <c r="BN31" s="212">
        <f ca="1">Income!BN13</f>
        <v>13.129813598442338</v>
      </c>
      <c r="BO31" s="212">
        <f ca="1">Income!BO13</f>
        <v>13.222169631932363</v>
      </c>
      <c r="BP31" s="212">
        <f ca="1">Income!BP13</f>
        <v>13.315175304265935</v>
      </c>
      <c r="BQ31" s="212">
        <f ca="1">Income!BQ13</f>
        <v>13.40883518504843</v>
      </c>
      <c r="BR31" s="212">
        <f ca="1">Income!BR13</f>
        <v>13.503153876028129</v>
      </c>
    </row>
    <row r="32" spans="1:70" ht="13.2" hidden="1" x14ac:dyDescent="0.3">
      <c r="C32" s="280" t="s">
        <v>62</v>
      </c>
      <c r="D32" s="14"/>
      <c r="E32" s="274">
        <f t="shared" si="35"/>
        <v>500.00000000000006</v>
      </c>
      <c r="F32" s="274">
        <f t="shared" si="36"/>
        <v>514.10000000000014</v>
      </c>
      <c r="G32" s="274">
        <f t="shared" si="37"/>
        <v>528.59762000000001</v>
      </c>
      <c r="H32" s="274">
        <f t="shared" si="38"/>
        <v>543.50407288400015</v>
      </c>
      <c r="I32" s="274">
        <f t="shared" si="39"/>
        <v>558.83088773932877</v>
      </c>
      <c r="J32" s="248"/>
      <c r="K32" s="216">
        <f>Income!K12</f>
        <v>41.666666666666664</v>
      </c>
      <c r="L32" s="216">
        <f>Income!L12</f>
        <v>41.666666666666664</v>
      </c>
      <c r="M32" s="216">
        <f>Income!M12</f>
        <v>41.666666666666664</v>
      </c>
      <c r="N32" s="216">
        <f>Income!N12</f>
        <v>41.666666666666664</v>
      </c>
      <c r="O32" s="216">
        <f>Income!O12</f>
        <v>41.666666666666664</v>
      </c>
      <c r="P32" s="216">
        <f>Income!P12</f>
        <v>41.666666666666664</v>
      </c>
      <c r="Q32" s="216">
        <f>Income!Q12</f>
        <v>41.666666666666664</v>
      </c>
      <c r="R32" s="216">
        <f>Income!R12</f>
        <v>41.666666666666664</v>
      </c>
      <c r="S32" s="216">
        <f>Income!S12</f>
        <v>41.666666666666664</v>
      </c>
      <c r="T32" s="216">
        <f>Income!T12</f>
        <v>41.666666666666664</v>
      </c>
      <c r="U32" s="216">
        <f>Income!U12</f>
        <v>41.666666666666664</v>
      </c>
      <c r="V32" s="274">
        <f>Income!V12</f>
        <v>41.666666666666664</v>
      </c>
      <c r="W32" s="216">
        <f>Income!W12</f>
        <v>42.841666666666669</v>
      </c>
      <c r="X32" s="216">
        <f>Income!X12</f>
        <v>42.841666666666669</v>
      </c>
      <c r="Y32" s="216">
        <f>Income!Y12</f>
        <v>42.841666666666669</v>
      </c>
      <c r="Z32" s="216">
        <f>Income!Z12</f>
        <v>42.841666666666669</v>
      </c>
      <c r="AA32" s="216">
        <f>Income!AA12</f>
        <v>42.841666666666669</v>
      </c>
      <c r="AB32" s="216">
        <f>Income!AB12</f>
        <v>42.841666666666669</v>
      </c>
      <c r="AC32" s="216">
        <f>Income!AC12</f>
        <v>42.841666666666669</v>
      </c>
      <c r="AD32" s="216">
        <f>Income!AD12</f>
        <v>42.841666666666669</v>
      </c>
      <c r="AE32" s="216">
        <f>Income!AE12</f>
        <v>42.841666666666669</v>
      </c>
      <c r="AF32" s="216">
        <f>Income!AF12</f>
        <v>42.841666666666669</v>
      </c>
      <c r="AG32" s="216">
        <f>Income!AG12</f>
        <v>42.841666666666669</v>
      </c>
      <c r="AH32" s="274">
        <f>Income!AH12</f>
        <v>42.841666666666669</v>
      </c>
      <c r="AI32" s="216">
        <f>Income!AI12</f>
        <v>44.049801666666667</v>
      </c>
      <c r="AJ32" s="216">
        <f>Income!AJ12</f>
        <v>44.049801666666667</v>
      </c>
      <c r="AK32" s="216">
        <f>Income!AK12</f>
        <v>44.049801666666667</v>
      </c>
      <c r="AL32" s="216">
        <f>Income!AL12</f>
        <v>44.049801666666667</v>
      </c>
      <c r="AM32" s="216">
        <f>Income!AM12</f>
        <v>44.049801666666667</v>
      </c>
      <c r="AN32" s="216">
        <f>Income!AN12</f>
        <v>44.049801666666667</v>
      </c>
      <c r="AO32" s="216">
        <f>Income!AO12</f>
        <v>44.049801666666667</v>
      </c>
      <c r="AP32" s="216">
        <f>Income!AP12</f>
        <v>44.049801666666667</v>
      </c>
      <c r="AQ32" s="216">
        <f>Income!AQ12</f>
        <v>44.049801666666667</v>
      </c>
      <c r="AR32" s="216">
        <f>Income!AR12</f>
        <v>44.049801666666667</v>
      </c>
      <c r="AS32" s="216">
        <f>Income!AS12</f>
        <v>44.049801666666667</v>
      </c>
      <c r="AT32" s="274">
        <f>Income!AT12</f>
        <v>44.049801666666667</v>
      </c>
      <c r="AU32" s="216">
        <f>Income!AU12</f>
        <v>45.29200607366667</v>
      </c>
      <c r="AV32" s="216">
        <f>Income!AV12</f>
        <v>45.29200607366667</v>
      </c>
      <c r="AW32" s="216">
        <f>Income!AW12</f>
        <v>45.29200607366667</v>
      </c>
      <c r="AX32" s="216">
        <f>Income!AX12</f>
        <v>45.29200607366667</v>
      </c>
      <c r="AY32" s="216">
        <f>Income!AY12</f>
        <v>45.29200607366667</v>
      </c>
      <c r="AZ32" s="216">
        <f>Income!AZ12</f>
        <v>45.29200607366667</v>
      </c>
      <c r="BA32" s="216">
        <f>Income!BA12</f>
        <v>45.29200607366667</v>
      </c>
      <c r="BB32" s="216">
        <f>Income!BB12</f>
        <v>45.29200607366667</v>
      </c>
      <c r="BC32" s="216">
        <f>Income!BC12</f>
        <v>45.29200607366667</v>
      </c>
      <c r="BD32" s="216">
        <f>Income!BD12</f>
        <v>45.29200607366667</v>
      </c>
      <c r="BE32" s="216">
        <f>Income!BE12</f>
        <v>45.29200607366667</v>
      </c>
      <c r="BF32" s="274">
        <f>Income!BF12</f>
        <v>45.29200607366667</v>
      </c>
      <c r="BG32" s="216">
        <f>Income!BG12</f>
        <v>46.569240644944067</v>
      </c>
      <c r="BH32" s="216">
        <f>Income!BH12</f>
        <v>46.569240644944067</v>
      </c>
      <c r="BI32" s="216">
        <f>Income!BI12</f>
        <v>46.569240644944067</v>
      </c>
      <c r="BJ32" s="216">
        <f>Income!BJ12</f>
        <v>46.569240644944067</v>
      </c>
      <c r="BK32" s="216">
        <f>Income!BK12</f>
        <v>46.569240644944067</v>
      </c>
      <c r="BL32" s="216">
        <f>Income!BL12</f>
        <v>46.569240644944067</v>
      </c>
      <c r="BM32" s="216">
        <f>Income!BM12</f>
        <v>46.569240644944067</v>
      </c>
      <c r="BN32" s="216">
        <f>Income!BN12</f>
        <v>46.569240644944067</v>
      </c>
      <c r="BO32" s="216">
        <f>Income!BO12</f>
        <v>46.569240644944067</v>
      </c>
      <c r="BP32" s="216">
        <f>Income!BP12</f>
        <v>46.569240644944067</v>
      </c>
      <c r="BQ32" s="216">
        <f>Income!BQ12</f>
        <v>46.569240644944067</v>
      </c>
      <c r="BR32" s="274">
        <f>Income!BR12</f>
        <v>46.569240644944067</v>
      </c>
    </row>
    <row r="33" spans="1:70" ht="13.2" x14ac:dyDescent="0.3">
      <c r="B33" s="34"/>
      <c r="C33" s="185" t="s">
        <v>215</v>
      </c>
      <c r="D33" s="14"/>
      <c r="E33" s="211">
        <f ca="1">SUM(K33:V33)</f>
        <v>1015.8988781166779</v>
      </c>
      <c r="F33" s="211">
        <f t="shared" ca="1" si="36"/>
        <v>1045.119552821305</v>
      </c>
      <c r="G33" s="211">
        <f t="shared" ca="1" si="37"/>
        <v>1075.6663014907535</v>
      </c>
      <c r="H33" s="211">
        <f t="shared" ca="1" si="38"/>
        <v>1107.6265460677994</v>
      </c>
      <c r="I33" s="211">
        <f t="shared" ca="1" si="39"/>
        <v>1141.0946426400021</v>
      </c>
      <c r="J33" s="248"/>
      <c r="K33" s="212">
        <f ca="1">SUM(K30:K32)</f>
        <v>84.304549272854302</v>
      </c>
      <c r="L33" s="213">
        <f t="shared" ref="L33:BR33" ca="1" si="40">SUM(L30:L32)</f>
        <v>84.367360351283651</v>
      </c>
      <c r="M33" s="213">
        <f t="shared" ca="1" si="40"/>
        <v>84.430613247262016</v>
      </c>
      <c r="N33" s="213">
        <f t="shared" ca="1" si="40"/>
        <v>84.494311068565139</v>
      </c>
      <c r="O33" s="213">
        <f t="shared" ca="1" si="40"/>
        <v>84.558456944829089</v>
      </c>
      <c r="P33" s="213">
        <f t="shared" ca="1" si="40"/>
        <v>84.623054027704001</v>
      </c>
      <c r="Q33" s="212">
        <f t="shared" ca="1" si="40"/>
        <v>84.688105491008997</v>
      </c>
      <c r="R33" s="212">
        <f t="shared" ca="1" si="40"/>
        <v>84.753614530887958</v>
      </c>
      <c r="S33" s="212">
        <f t="shared" ca="1" si="40"/>
        <v>84.819584365966762</v>
      </c>
      <c r="T33" s="212">
        <f t="shared" ca="1" si="40"/>
        <v>84.886018237511308</v>
      </c>
      <c r="U33" s="212">
        <f t="shared" ca="1" si="40"/>
        <v>84.952919409586741</v>
      </c>
      <c r="V33" s="211">
        <f t="shared" ca="1" si="40"/>
        <v>85.020291169217927</v>
      </c>
      <c r="W33" s="212">
        <f t="shared" ca="1" si="40"/>
        <v>86.708568374169943</v>
      </c>
      <c r="X33" s="213">
        <f t="shared" ca="1" si="40"/>
        <v>86.77689126263445</v>
      </c>
      <c r="Y33" s="213">
        <f t="shared" ca="1" si="40"/>
        <v>86.845694739107898</v>
      </c>
      <c r="Z33" s="213">
        <f t="shared" ca="1" si="40"/>
        <v>86.914982184080202</v>
      </c>
      <c r="AA33" s="213">
        <f t="shared" ca="1" si="40"/>
        <v>86.984757001819872</v>
      </c>
      <c r="AB33" s="213">
        <f t="shared" ca="1" si="40"/>
        <v>87.055022620541251</v>
      </c>
      <c r="AC33" s="212">
        <f t="shared" ca="1" si="40"/>
        <v>87.125782492573023</v>
      </c>
      <c r="AD33" s="212">
        <f t="shared" ca="1" si="40"/>
        <v>87.197040094527779</v>
      </c>
      <c r="AE33" s="212">
        <f t="shared" ca="1" si="40"/>
        <v>87.268798927472844</v>
      </c>
      <c r="AF33" s="212">
        <f t="shared" ca="1" si="40"/>
        <v>87.341062517102301</v>
      </c>
      <c r="AG33" s="212">
        <f t="shared" ca="1" si="40"/>
        <v>87.413834413910223</v>
      </c>
      <c r="AH33" s="211">
        <f t="shared" ca="1" si="40"/>
        <v>87.487118193365092</v>
      </c>
      <c r="AI33" s="212">
        <f t="shared" ca="1" si="40"/>
        <v>89.220370063440953</v>
      </c>
      <c r="AJ33" s="213">
        <f t="shared" ca="1" si="40"/>
        <v>89.294688435372478</v>
      </c>
      <c r="AK33" s="213">
        <f t="shared" ca="1" si="40"/>
        <v>89.369529567965898</v>
      </c>
      <c r="AL33" s="213">
        <f t="shared" ca="1" si="40"/>
        <v>89.444897138356495</v>
      </c>
      <c r="AM33" s="213">
        <f t="shared" ca="1" si="40"/>
        <v>89.520794849544814</v>
      </c>
      <c r="AN33" s="213">
        <f t="shared" ca="1" si="40"/>
        <v>89.597226430578573</v>
      </c>
      <c r="AO33" s="212">
        <f t="shared" ca="1" si="40"/>
        <v>89.674195636735845</v>
      </c>
      <c r="AP33" s="212">
        <f t="shared" ca="1" si="40"/>
        <v>89.751706249709613</v>
      </c>
      <c r="AQ33" s="212">
        <f t="shared" ca="1" si="40"/>
        <v>89.829762077793561</v>
      </c>
      <c r="AR33" s="212">
        <f t="shared" ca="1" si="40"/>
        <v>89.908366956069159</v>
      </c>
      <c r="AS33" s="212">
        <f t="shared" ca="1" si="40"/>
        <v>89.987524746594119</v>
      </c>
      <c r="AT33" s="211">
        <f t="shared" ca="1" si="40"/>
        <v>90.067239338592159</v>
      </c>
      <c r="AU33" s="212">
        <f t="shared" ca="1" si="40"/>
        <v>91.847000502810957</v>
      </c>
      <c r="AV33" s="213">
        <f t="shared" ca="1" si="40"/>
        <v>91.927840475046963</v>
      </c>
      <c r="AW33" s="213">
        <f t="shared" ca="1" si="40"/>
        <v>92.009249081340641</v>
      </c>
      <c r="AX33" s="213">
        <f t="shared" ca="1" si="40"/>
        <v>92.091230321504014</v>
      </c>
      <c r="AY33" s="213">
        <f t="shared" ca="1" si="40"/>
        <v>92.173788223484053</v>
      </c>
      <c r="AZ33" s="213">
        <f t="shared" ca="1" si="40"/>
        <v>92.256926843560578</v>
      </c>
      <c r="BA33" s="212">
        <f t="shared" ca="1" si="40"/>
        <v>92.34065026654558</v>
      </c>
      <c r="BB33" s="212">
        <f t="shared" ca="1" si="40"/>
        <v>92.424962605983893</v>
      </c>
      <c r="BC33" s="212">
        <f t="shared" ca="1" si="40"/>
        <v>92.509868004355326</v>
      </c>
      <c r="BD33" s="212">
        <f t="shared" ca="1" si="40"/>
        <v>92.595370633278208</v>
      </c>
      <c r="BE33" s="212">
        <f t="shared" ca="1" si="40"/>
        <v>92.68147469371425</v>
      </c>
      <c r="BF33" s="211">
        <f t="shared" ca="1" si="40"/>
        <v>92.768184416175075</v>
      </c>
      <c r="BG33" s="212">
        <f t="shared" ca="1" si="40"/>
        <v>94.596062727069068</v>
      </c>
      <c r="BH33" s="213">
        <f t="shared" ca="1" si="40"/>
        <v>94.68399658435456</v>
      </c>
      <c r="BI33" s="213">
        <f t="shared" ca="1" si="40"/>
        <v>94.772548974584723</v>
      </c>
      <c r="BJ33" s="213">
        <f t="shared" ca="1" si="40"/>
        <v>94.861724248563888</v>
      </c>
      <c r="BK33" s="213">
        <f t="shared" ca="1" si="40"/>
        <v>94.951526787700189</v>
      </c>
      <c r="BL33" s="213">
        <f t="shared" ca="1" si="40"/>
        <v>95.041961004220923</v>
      </c>
      <c r="BM33" s="212">
        <f t="shared" ca="1" si="40"/>
        <v>95.133031341389312</v>
      </c>
      <c r="BN33" s="212">
        <f t="shared" ca="1" si="40"/>
        <v>95.224742273722768</v>
      </c>
      <c r="BO33" s="212">
        <f t="shared" ca="1" si="40"/>
        <v>95.317098307212802</v>
      </c>
      <c r="BP33" s="212">
        <f t="shared" ca="1" si="40"/>
        <v>95.410103979546363</v>
      </c>
      <c r="BQ33" s="212">
        <f t="shared" ca="1" si="40"/>
        <v>95.50376386032886</v>
      </c>
      <c r="BR33" s="211">
        <f t="shared" ca="1" si="40"/>
        <v>95.598082551308551</v>
      </c>
    </row>
    <row r="34" spans="1:70" ht="13.2" hidden="1" x14ac:dyDescent="0.3">
      <c r="C34" s="272" t="s">
        <v>242</v>
      </c>
      <c r="D34" s="14"/>
      <c r="E34" s="212">
        <f t="shared" ref="E34:E37" si="41">SUM(K34:V34)</f>
        <v>6.9999999999999991</v>
      </c>
      <c r="F34" s="212">
        <f t="shared" si="36"/>
        <v>8.4</v>
      </c>
      <c r="G34" s="212">
        <f t="shared" si="37"/>
        <v>8.4</v>
      </c>
      <c r="H34" s="212">
        <f t="shared" si="38"/>
        <v>8.4</v>
      </c>
      <c r="I34" s="212">
        <f t="shared" si="39"/>
        <v>8.4</v>
      </c>
      <c r="J34" s="248"/>
      <c r="K34" s="212">
        <f>RateShort/12*Balance!K23</f>
        <v>0.58333333333333337</v>
      </c>
      <c r="L34" s="213">
        <f>RateShort/12*Balance!L23</f>
        <v>0.58333333333333337</v>
      </c>
      <c r="M34" s="213">
        <f>RateShort/12*Balance!M23</f>
        <v>0.58333333333333337</v>
      </c>
      <c r="N34" s="213">
        <f>RateShort/12*Balance!N23</f>
        <v>0.58333333333333337</v>
      </c>
      <c r="O34" s="213">
        <f>RateShort/12*Balance!O23</f>
        <v>0.58333333333333337</v>
      </c>
      <c r="P34" s="213">
        <f>RateShort/12*Balance!P23</f>
        <v>0.58333333333333337</v>
      </c>
      <c r="Q34" s="212">
        <f>RateShort/12*Balance!Q23</f>
        <v>0.58333333333333337</v>
      </c>
      <c r="R34" s="212">
        <f>RateShort/12*Balance!R23</f>
        <v>0.58333333333333337</v>
      </c>
      <c r="S34" s="212">
        <f>RateShort/12*Balance!S23</f>
        <v>0.58333333333333337</v>
      </c>
      <c r="T34" s="212">
        <f>RateShort/12*Balance!T23</f>
        <v>0.58333333333333337</v>
      </c>
      <c r="U34" s="212">
        <f>RateShort/12*Balance!U23</f>
        <v>0.58333333333333337</v>
      </c>
      <c r="V34" s="212">
        <f>RateShort/12*Balance!V23</f>
        <v>0.58333333333333337</v>
      </c>
      <c r="W34" s="212">
        <f>RateShort/12*Balance!W23</f>
        <v>0.70000000000000007</v>
      </c>
      <c r="X34" s="213">
        <f>RateShort/12*Balance!X23</f>
        <v>0.70000000000000007</v>
      </c>
      <c r="Y34" s="213">
        <f>RateShort/12*Balance!Y23</f>
        <v>0.70000000000000007</v>
      </c>
      <c r="Z34" s="213">
        <f>RateShort/12*Balance!Z23</f>
        <v>0.70000000000000007</v>
      </c>
      <c r="AA34" s="213">
        <f>RateShort/12*Balance!AA23</f>
        <v>0.70000000000000007</v>
      </c>
      <c r="AB34" s="213">
        <f>RateShort/12*Balance!AB23</f>
        <v>0.70000000000000007</v>
      </c>
      <c r="AC34" s="212">
        <f>RateShort/12*Balance!AC23</f>
        <v>0.70000000000000007</v>
      </c>
      <c r="AD34" s="212">
        <f>RateShort/12*Balance!AD23</f>
        <v>0.70000000000000007</v>
      </c>
      <c r="AE34" s="212">
        <f>RateShort/12*Balance!AE23</f>
        <v>0.70000000000000007</v>
      </c>
      <c r="AF34" s="212">
        <f>RateShort/12*Balance!AF23</f>
        <v>0.70000000000000007</v>
      </c>
      <c r="AG34" s="212">
        <f>RateShort/12*Balance!AG23</f>
        <v>0.70000000000000007</v>
      </c>
      <c r="AH34" s="212">
        <f>RateShort/12*Balance!AH23</f>
        <v>0.70000000000000007</v>
      </c>
      <c r="AI34" s="212">
        <f>RateShort/12*Balance!AI23</f>
        <v>0.70000000000000007</v>
      </c>
      <c r="AJ34" s="213">
        <f>RateShort/12*Balance!AJ23</f>
        <v>0.70000000000000007</v>
      </c>
      <c r="AK34" s="213">
        <f>RateShort/12*Balance!AK23</f>
        <v>0.70000000000000007</v>
      </c>
      <c r="AL34" s="213">
        <f>RateShort/12*Balance!AL23</f>
        <v>0.70000000000000007</v>
      </c>
      <c r="AM34" s="213">
        <f>RateShort/12*Balance!AM23</f>
        <v>0.70000000000000007</v>
      </c>
      <c r="AN34" s="213">
        <f>RateShort/12*Balance!AN23</f>
        <v>0.70000000000000007</v>
      </c>
      <c r="AO34" s="212">
        <f>RateShort/12*Balance!AO23</f>
        <v>0.70000000000000007</v>
      </c>
      <c r="AP34" s="212">
        <f>RateShort/12*Balance!AP23</f>
        <v>0.70000000000000007</v>
      </c>
      <c r="AQ34" s="212">
        <f>RateShort/12*Balance!AQ23</f>
        <v>0.70000000000000007</v>
      </c>
      <c r="AR34" s="212">
        <f>RateShort/12*Balance!AR23</f>
        <v>0.70000000000000007</v>
      </c>
      <c r="AS34" s="212">
        <f>RateShort/12*Balance!AS23</f>
        <v>0.70000000000000007</v>
      </c>
      <c r="AT34" s="212">
        <f>RateShort/12*Balance!AT23</f>
        <v>0.70000000000000007</v>
      </c>
      <c r="AU34" s="212">
        <f>RateShort/12*Balance!AU23</f>
        <v>0.70000000000000007</v>
      </c>
      <c r="AV34" s="213">
        <f>RateShort/12*Balance!AV23</f>
        <v>0.70000000000000007</v>
      </c>
      <c r="AW34" s="213">
        <f>RateShort/12*Balance!AW23</f>
        <v>0.70000000000000007</v>
      </c>
      <c r="AX34" s="213">
        <f>RateShort/12*Balance!AX23</f>
        <v>0.70000000000000007</v>
      </c>
      <c r="AY34" s="213">
        <f>RateShort/12*Balance!AY23</f>
        <v>0.70000000000000007</v>
      </c>
      <c r="AZ34" s="213">
        <f>RateShort/12*Balance!AZ23</f>
        <v>0.70000000000000007</v>
      </c>
      <c r="BA34" s="212">
        <f>RateShort/12*Balance!BA23</f>
        <v>0.70000000000000007</v>
      </c>
      <c r="BB34" s="212">
        <f>RateShort/12*Balance!BB23</f>
        <v>0.70000000000000007</v>
      </c>
      <c r="BC34" s="212">
        <f>RateShort/12*Balance!BC23</f>
        <v>0.70000000000000007</v>
      </c>
      <c r="BD34" s="212">
        <f>RateShort/12*Balance!BD23</f>
        <v>0.70000000000000007</v>
      </c>
      <c r="BE34" s="212">
        <f>RateShort/12*Balance!BE23</f>
        <v>0.70000000000000007</v>
      </c>
      <c r="BF34" s="212">
        <f>RateShort/12*Balance!BF23</f>
        <v>0.70000000000000007</v>
      </c>
      <c r="BG34" s="212">
        <f>RateShort/12*Balance!BG23</f>
        <v>0.70000000000000007</v>
      </c>
      <c r="BH34" s="213">
        <f>RateShort/12*Balance!BH23</f>
        <v>0.70000000000000007</v>
      </c>
      <c r="BI34" s="213">
        <f>RateShort/12*Balance!BI23</f>
        <v>0.70000000000000007</v>
      </c>
      <c r="BJ34" s="213">
        <f>RateShort/12*Balance!BJ23</f>
        <v>0.70000000000000007</v>
      </c>
      <c r="BK34" s="213">
        <f>RateShort/12*Balance!BK23</f>
        <v>0.70000000000000007</v>
      </c>
      <c r="BL34" s="213">
        <f>RateShort/12*Balance!BL23</f>
        <v>0.70000000000000007</v>
      </c>
      <c r="BM34" s="212">
        <f>RateShort/12*Balance!BM23</f>
        <v>0.70000000000000007</v>
      </c>
      <c r="BN34" s="212">
        <f>RateShort/12*Balance!BN23</f>
        <v>0.70000000000000007</v>
      </c>
      <c r="BO34" s="212">
        <f>RateShort/12*Balance!BO23</f>
        <v>0.70000000000000007</v>
      </c>
      <c r="BP34" s="212">
        <f>RateShort/12*Balance!BP23</f>
        <v>0.70000000000000007</v>
      </c>
      <c r="BQ34" s="212">
        <f>RateShort/12*Balance!BQ23</f>
        <v>0.70000000000000007</v>
      </c>
      <c r="BR34" s="212">
        <f>RateShort/12*Balance!BR23</f>
        <v>0.70000000000000007</v>
      </c>
    </row>
    <row r="35" spans="1:70" ht="13.2" hidden="1" x14ac:dyDescent="0.3">
      <c r="C35" s="272" t="s">
        <v>243</v>
      </c>
      <c r="D35" s="14"/>
      <c r="E35" s="212">
        <f t="shared" si="41"/>
        <v>2.5145833333333329</v>
      </c>
      <c r="F35" s="212">
        <f t="shared" si="36"/>
        <v>5.950000000000002</v>
      </c>
      <c r="G35" s="212">
        <f t="shared" si="37"/>
        <v>5.950000000000002</v>
      </c>
      <c r="H35" s="212">
        <f t="shared" si="38"/>
        <v>5.950000000000002</v>
      </c>
      <c r="I35" s="212">
        <f t="shared" si="39"/>
        <v>5.950000000000002</v>
      </c>
      <c r="J35" s="248"/>
      <c r="K35" s="212">
        <f>RateLong/12*Balance!K25</f>
        <v>0.10625000000000001</v>
      </c>
      <c r="L35" s="213">
        <f>RateLong/12*Balance!L25</f>
        <v>0.10625000000000001</v>
      </c>
      <c r="M35" s="213">
        <f>RateLong/12*Balance!M25</f>
        <v>0.10625000000000001</v>
      </c>
      <c r="N35" s="213">
        <f>RateLong/12*Balance!N25</f>
        <v>0.10625000000000001</v>
      </c>
      <c r="O35" s="213">
        <f>RateLong/12*Balance!O25</f>
        <v>0.10625000000000001</v>
      </c>
      <c r="P35" s="213">
        <f>RateLong/12*Balance!P25</f>
        <v>0.28333333333333333</v>
      </c>
      <c r="Q35" s="212">
        <f>RateLong/12*Balance!Q25</f>
        <v>0.28333333333333333</v>
      </c>
      <c r="R35" s="212">
        <f>RateLong/12*Balance!R25</f>
        <v>0.28333333333333333</v>
      </c>
      <c r="S35" s="212">
        <f>RateLong/12*Balance!S25</f>
        <v>0.28333333333333333</v>
      </c>
      <c r="T35" s="212">
        <f>RateLong/12*Balance!T25</f>
        <v>0.28333333333333333</v>
      </c>
      <c r="U35" s="212">
        <f>RateLong/12*Balance!U25</f>
        <v>0.28333333333333333</v>
      </c>
      <c r="V35" s="212">
        <f>RateLong/12*Balance!V25</f>
        <v>0.28333333333333333</v>
      </c>
      <c r="W35" s="212">
        <f>RateLong/12*Balance!W25</f>
        <v>0.49583333333333335</v>
      </c>
      <c r="X35" s="213">
        <f>RateLong/12*Balance!X25</f>
        <v>0.49583333333333335</v>
      </c>
      <c r="Y35" s="213">
        <f>RateLong/12*Balance!Y25</f>
        <v>0.49583333333333335</v>
      </c>
      <c r="Z35" s="213">
        <f>RateLong/12*Balance!Z25</f>
        <v>0.49583333333333335</v>
      </c>
      <c r="AA35" s="213">
        <f>RateLong/12*Balance!AA25</f>
        <v>0.49583333333333335</v>
      </c>
      <c r="AB35" s="213">
        <f>RateLong/12*Balance!AB25</f>
        <v>0.49583333333333335</v>
      </c>
      <c r="AC35" s="212">
        <f>RateLong/12*Balance!AC25</f>
        <v>0.49583333333333335</v>
      </c>
      <c r="AD35" s="212">
        <f>RateLong/12*Balance!AD25</f>
        <v>0.49583333333333335</v>
      </c>
      <c r="AE35" s="212">
        <f>RateLong/12*Balance!AE25</f>
        <v>0.49583333333333335</v>
      </c>
      <c r="AF35" s="212">
        <f>RateLong/12*Balance!AF25</f>
        <v>0.49583333333333335</v>
      </c>
      <c r="AG35" s="212">
        <f>RateLong/12*Balance!AG25</f>
        <v>0.49583333333333335</v>
      </c>
      <c r="AH35" s="212">
        <f>RateLong/12*Balance!AH25</f>
        <v>0.49583333333333335</v>
      </c>
      <c r="AI35" s="212">
        <f>RateLong/12*Balance!AI25</f>
        <v>0.49583333333333335</v>
      </c>
      <c r="AJ35" s="213">
        <f>RateLong/12*Balance!AJ25</f>
        <v>0.49583333333333335</v>
      </c>
      <c r="AK35" s="213">
        <f>RateLong/12*Balance!AK25</f>
        <v>0.49583333333333335</v>
      </c>
      <c r="AL35" s="213">
        <f>RateLong/12*Balance!AL25</f>
        <v>0.49583333333333335</v>
      </c>
      <c r="AM35" s="213">
        <f>RateLong/12*Balance!AM25</f>
        <v>0.49583333333333335</v>
      </c>
      <c r="AN35" s="213">
        <f>RateLong/12*Balance!AN25</f>
        <v>0.49583333333333335</v>
      </c>
      <c r="AO35" s="212">
        <f>RateLong/12*Balance!AO25</f>
        <v>0.49583333333333335</v>
      </c>
      <c r="AP35" s="212">
        <f>RateLong/12*Balance!AP25</f>
        <v>0.49583333333333335</v>
      </c>
      <c r="AQ35" s="212">
        <f>RateLong/12*Balance!AQ25</f>
        <v>0.49583333333333335</v>
      </c>
      <c r="AR35" s="212">
        <f>RateLong/12*Balance!AR25</f>
        <v>0.49583333333333335</v>
      </c>
      <c r="AS35" s="212">
        <f>RateLong/12*Balance!AS25</f>
        <v>0.49583333333333335</v>
      </c>
      <c r="AT35" s="212">
        <f>RateLong/12*Balance!AT25</f>
        <v>0.49583333333333335</v>
      </c>
      <c r="AU35" s="212">
        <f>RateLong/12*Balance!AU25</f>
        <v>0.49583333333333335</v>
      </c>
      <c r="AV35" s="213">
        <f>RateLong/12*Balance!AV25</f>
        <v>0.49583333333333335</v>
      </c>
      <c r="AW35" s="213">
        <f>RateLong/12*Balance!AW25</f>
        <v>0.49583333333333335</v>
      </c>
      <c r="AX35" s="213">
        <f>RateLong/12*Balance!AX25</f>
        <v>0.49583333333333335</v>
      </c>
      <c r="AY35" s="213">
        <f>RateLong/12*Balance!AY25</f>
        <v>0.49583333333333335</v>
      </c>
      <c r="AZ35" s="213">
        <f>RateLong/12*Balance!AZ25</f>
        <v>0.49583333333333335</v>
      </c>
      <c r="BA35" s="212">
        <f>RateLong/12*Balance!BA25</f>
        <v>0.49583333333333335</v>
      </c>
      <c r="BB35" s="212">
        <f>RateLong/12*Balance!BB25</f>
        <v>0.49583333333333335</v>
      </c>
      <c r="BC35" s="212">
        <f>RateLong/12*Balance!BC25</f>
        <v>0.49583333333333335</v>
      </c>
      <c r="BD35" s="212">
        <f>RateLong/12*Balance!BD25</f>
        <v>0.49583333333333335</v>
      </c>
      <c r="BE35" s="212">
        <f>RateLong/12*Balance!BE25</f>
        <v>0.49583333333333335</v>
      </c>
      <c r="BF35" s="212">
        <f>RateLong/12*Balance!BF25</f>
        <v>0.49583333333333335</v>
      </c>
      <c r="BG35" s="212">
        <f>RateLong/12*Balance!BG25</f>
        <v>0.49583333333333335</v>
      </c>
      <c r="BH35" s="213">
        <f>RateLong/12*Balance!BH25</f>
        <v>0.49583333333333335</v>
      </c>
      <c r="BI35" s="213">
        <f>RateLong/12*Balance!BI25</f>
        <v>0.49583333333333335</v>
      </c>
      <c r="BJ35" s="213">
        <f>RateLong/12*Balance!BJ25</f>
        <v>0.49583333333333335</v>
      </c>
      <c r="BK35" s="213">
        <f>RateLong/12*Balance!BK25</f>
        <v>0.49583333333333335</v>
      </c>
      <c r="BL35" s="213">
        <f>RateLong/12*Balance!BL25</f>
        <v>0.49583333333333335</v>
      </c>
      <c r="BM35" s="212">
        <f>RateLong/12*Balance!BM25</f>
        <v>0.49583333333333335</v>
      </c>
      <c r="BN35" s="212">
        <f>RateLong/12*Balance!BN25</f>
        <v>0.49583333333333335</v>
      </c>
      <c r="BO35" s="212">
        <f>RateLong/12*Balance!BO25</f>
        <v>0.49583333333333335</v>
      </c>
      <c r="BP35" s="212">
        <f>RateLong/12*Balance!BP25</f>
        <v>0.49583333333333335</v>
      </c>
      <c r="BQ35" s="212">
        <f>RateLong/12*Balance!BQ25</f>
        <v>0.49583333333333335</v>
      </c>
      <c r="BR35" s="212">
        <f>RateLong/12*Balance!BR25</f>
        <v>0.49583333333333335</v>
      </c>
    </row>
    <row r="36" spans="1:70" ht="13.2" hidden="1" x14ac:dyDescent="0.3">
      <c r="C36" s="280" t="s">
        <v>244</v>
      </c>
      <c r="D36" s="14"/>
      <c r="E36" s="274">
        <f t="shared" ca="1" si="41"/>
        <v>22.647668965914246</v>
      </c>
      <c r="F36" s="274">
        <f t="shared" ca="1" si="36"/>
        <v>1.5953571210828452</v>
      </c>
      <c r="G36" s="274">
        <f t="shared" ca="1" si="37"/>
        <v>0</v>
      </c>
      <c r="H36" s="274">
        <f t="shared" ca="1" si="38"/>
        <v>0</v>
      </c>
      <c r="I36" s="274">
        <f t="shared" ca="1" si="39"/>
        <v>0</v>
      </c>
      <c r="J36" s="248"/>
      <c r="K36" s="216"/>
      <c r="L36" s="216">
        <f ca="1">RateCredit/12*K45</f>
        <v>1.8518571020742873</v>
      </c>
      <c r="M36" s="216">
        <f t="shared" ref="M36:AQ36" ca="1" si="42">RateCredit/12*L45</f>
        <v>2.0992170582436978</v>
      </c>
      <c r="N36" s="216">
        <f t="shared" ca="1" si="42"/>
        <v>2.3817123812146415</v>
      </c>
      <c r="O36" s="216">
        <f t="shared" ca="1" si="42"/>
        <v>2.2560562616733497</v>
      </c>
      <c r="P36" s="216">
        <f t="shared" ca="1" si="42"/>
        <v>2.1258859750087615</v>
      </c>
      <c r="Q36" s="216">
        <f t="shared" ca="1" si="42"/>
        <v>2.3969588917034725</v>
      </c>
      <c r="R36" s="216">
        <f t="shared" ca="1" si="42"/>
        <v>2.2393190495889703</v>
      </c>
      <c r="S36" s="216">
        <f t="shared" ca="1" si="42"/>
        <v>2.0769260173218598</v>
      </c>
      <c r="T36" s="216">
        <f t="shared" ca="1" si="42"/>
        <v>1.9097254381059345</v>
      </c>
      <c r="U36" s="216">
        <f t="shared" ca="1" si="42"/>
        <v>1.7376624487851442</v>
      </c>
      <c r="V36" s="274">
        <f t="shared" ca="1" si="42"/>
        <v>1.5723483421941256</v>
      </c>
      <c r="W36" s="216">
        <f t="shared" ca="1" si="42"/>
        <v>1.1775282711403472</v>
      </c>
      <c r="X36" s="216">
        <f t="shared" ca="1" si="42"/>
        <v>0.28641585151386384</v>
      </c>
      <c r="Y36" s="216">
        <f t="shared" ca="1" si="42"/>
        <v>0.13141299842863435</v>
      </c>
      <c r="Z36" s="216">
        <f t="shared" ca="1" si="42"/>
        <v>0</v>
      </c>
      <c r="AA36" s="216">
        <f t="shared" ca="1" si="42"/>
        <v>0</v>
      </c>
      <c r="AB36" s="216">
        <f t="shared" ca="1" si="42"/>
        <v>0</v>
      </c>
      <c r="AC36" s="216">
        <f t="shared" ca="1" si="42"/>
        <v>0</v>
      </c>
      <c r="AD36" s="216">
        <f t="shared" ca="1" si="42"/>
        <v>0</v>
      </c>
      <c r="AE36" s="216">
        <f t="shared" ca="1" si="42"/>
        <v>0</v>
      </c>
      <c r="AF36" s="216">
        <f t="shared" ca="1" si="42"/>
        <v>0</v>
      </c>
      <c r="AG36" s="216">
        <f t="shared" ca="1" si="42"/>
        <v>0</v>
      </c>
      <c r="AH36" s="274">
        <f t="shared" ca="1" si="42"/>
        <v>0</v>
      </c>
      <c r="AI36" s="216">
        <f t="shared" ca="1" si="42"/>
        <v>0</v>
      </c>
      <c r="AJ36" s="216">
        <f t="shared" ca="1" si="42"/>
        <v>0</v>
      </c>
      <c r="AK36" s="216">
        <f t="shared" ca="1" si="42"/>
        <v>0</v>
      </c>
      <c r="AL36" s="216">
        <f t="shared" ca="1" si="42"/>
        <v>0</v>
      </c>
      <c r="AM36" s="216">
        <f t="shared" ca="1" si="42"/>
        <v>0</v>
      </c>
      <c r="AN36" s="216">
        <f t="shared" ca="1" si="42"/>
        <v>0</v>
      </c>
      <c r="AO36" s="216">
        <f t="shared" ca="1" si="42"/>
        <v>0</v>
      </c>
      <c r="AP36" s="216">
        <f t="shared" ca="1" si="42"/>
        <v>0</v>
      </c>
      <c r="AQ36" s="216">
        <f t="shared" ca="1" si="42"/>
        <v>0</v>
      </c>
      <c r="AR36" s="216">
        <f t="shared" ref="AR36:BR36" ca="1" si="43">RateCredit/12*AQ45</f>
        <v>0</v>
      </c>
      <c r="AS36" s="216">
        <f t="shared" ca="1" si="43"/>
        <v>0</v>
      </c>
      <c r="AT36" s="274">
        <f t="shared" ca="1" si="43"/>
        <v>0</v>
      </c>
      <c r="AU36" s="216">
        <f t="shared" ca="1" si="43"/>
        <v>0</v>
      </c>
      <c r="AV36" s="216">
        <f t="shared" ca="1" si="43"/>
        <v>0</v>
      </c>
      <c r="AW36" s="216">
        <f t="shared" ca="1" si="43"/>
        <v>0</v>
      </c>
      <c r="AX36" s="216">
        <f t="shared" ca="1" si="43"/>
        <v>0</v>
      </c>
      <c r="AY36" s="216">
        <f t="shared" ca="1" si="43"/>
        <v>0</v>
      </c>
      <c r="AZ36" s="216">
        <f t="shared" ca="1" si="43"/>
        <v>0</v>
      </c>
      <c r="BA36" s="216">
        <f t="shared" ca="1" si="43"/>
        <v>0</v>
      </c>
      <c r="BB36" s="216">
        <f t="shared" ca="1" si="43"/>
        <v>0</v>
      </c>
      <c r="BC36" s="216">
        <f t="shared" ca="1" si="43"/>
        <v>0</v>
      </c>
      <c r="BD36" s="216">
        <f t="shared" ca="1" si="43"/>
        <v>0</v>
      </c>
      <c r="BE36" s="216">
        <f t="shared" ca="1" si="43"/>
        <v>0</v>
      </c>
      <c r="BF36" s="274">
        <f t="shared" ca="1" si="43"/>
        <v>0</v>
      </c>
      <c r="BG36" s="216">
        <f t="shared" ca="1" si="43"/>
        <v>0</v>
      </c>
      <c r="BH36" s="216">
        <f t="shared" ca="1" si="43"/>
        <v>0</v>
      </c>
      <c r="BI36" s="216">
        <f t="shared" ca="1" si="43"/>
        <v>0</v>
      </c>
      <c r="BJ36" s="216">
        <f t="shared" ca="1" si="43"/>
        <v>0</v>
      </c>
      <c r="BK36" s="216">
        <f t="shared" ca="1" si="43"/>
        <v>0</v>
      </c>
      <c r="BL36" s="216">
        <f t="shared" ca="1" si="43"/>
        <v>0</v>
      </c>
      <c r="BM36" s="216">
        <f t="shared" ca="1" si="43"/>
        <v>0</v>
      </c>
      <c r="BN36" s="216">
        <f t="shared" ca="1" si="43"/>
        <v>0</v>
      </c>
      <c r="BO36" s="216">
        <f t="shared" ca="1" si="43"/>
        <v>0</v>
      </c>
      <c r="BP36" s="216">
        <f t="shared" ca="1" si="43"/>
        <v>0</v>
      </c>
      <c r="BQ36" s="216">
        <f t="shared" ca="1" si="43"/>
        <v>0</v>
      </c>
      <c r="BR36" s="274">
        <f t="shared" ca="1" si="43"/>
        <v>0</v>
      </c>
    </row>
    <row r="37" spans="1:70" ht="13.2" x14ac:dyDescent="0.3">
      <c r="B37" s="34"/>
      <c r="C37" s="185" t="s">
        <v>64</v>
      </c>
      <c r="D37" s="14"/>
      <c r="E37" s="211">
        <f t="shared" ca="1" si="41"/>
        <v>32.162252299247584</v>
      </c>
      <c r="F37" s="211">
        <f t="shared" ca="1" si="36"/>
        <v>15.945357121082841</v>
      </c>
      <c r="G37" s="211">
        <f t="shared" ca="1" si="37"/>
        <v>14.349999999999996</v>
      </c>
      <c r="H37" s="211">
        <f t="shared" ca="1" si="38"/>
        <v>14.349999999999996</v>
      </c>
      <c r="I37" s="211">
        <f t="shared" ca="1" si="39"/>
        <v>14.349999999999996</v>
      </c>
      <c r="J37" s="248"/>
      <c r="K37" s="212">
        <f>SUM(K34:K36)</f>
        <v>0.68958333333333344</v>
      </c>
      <c r="L37" s="213">
        <f ca="1">SUM(L34:L36)</f>
        <v>2.5414404354076208</v>
      </c>
      <c r="M37" s="213">
        <f t="shared" ref="M37:BR37" ca="1" si="44">SUM(M34:M36)</f>
        <v>2.7888003915770314</v>
      </c>
      <c r="N37" s="213">
        <f t="shared" ca="1" si="44"/>
        <v>3.0712957145479747</v>
      </c>
      <c r="O37" s="213">
        <f t="shared" ca="1" si="44"/>
        <v>2.9456395950066829</v>
      </c>
      <c r="P37" s="213">
        <f t="shared" ca="1" si="44"/>
        <v>2.9925526416754282</v>
      </c>
      <c r="Q37" s="212">
        <f t="shared" ca="1" si="44"/>
        <v>3.2636255583701392</v>
      </c>
      <c r="R37" s="212">
        <f t="shared" ca="1" si="44"/>
        <v>3.105985716255637</v>
      </c>
      <c r="S37" s="212">
        <f t="shared" ca="1" si="44"/>
        <v>2.9435926839885265</v>
      </c>
      <c r="T37" s="212">
        <f t="shared" ca="1" si="44"/>
        <v>2.7763921047726012</v>
      </c>
      <c r="U37" s="212">
        <f t="shared" ca="1" si="44"/>
        <v>2.6043291154518107</v>
      </c>
      <c r="V37" s="211">
        <f t="shared" ca="1" si="44"/>
        <v>2.4390150088607925</v>
      </c>
      <c r="W37" s="212">
        <f t="shared" ca="1" si="44"/>
        <v>2.3733616044736805</v>
      </c>
      <c r="X37" s="213">
        <f t="shared" ca="1" si="44"/>
        <v>1.482249184847197</v>
      </c>
      <c r="Y37" s="213">
        <f t="shared" ca="1" si="44"/>
        <v>1.3272463317619676</v>
      </c>
      <c r="Z37" s="213">
        <f t="shared" ca="1" si="44"/>
        <v>1.1958333333333333</v>
      </c>
      <c r="AA37" s="213">
        <f t="shared" ca="1" si="44"/>
        <v>1.1958333333333333</v>
      </c>
      <c r="AB37" s="213">
        <f t="shared" ca="1" si="44"/>
        <v>1.1958333333333333</v>
      </c>
      <c r="AC37" s="212">
        <f t="shared" ca="1" si="44"/>
        <v>1.1958333333333333</v>
      </c>
      <c r="AD37" s="212">
        <f t="shared" ca="1" si="44"/>
        <v>1.1958333333333333</v>
      </c>
      <c r="AE37" s="212">
        <f t="shared" ca="1" si="44"/>
        <v>1.1958333333333333</v>
      </c>
      <c r="AF37" s="212">
        <f t="shared" ca="1" si="44"/>
        <v>1.1958333333333333</v>
      </c>
      <c r="AG37" s="212">
        <f t="shared" ca="1" si="44"/>
        <v>1.1958333333333333</v>
      </c>
      <c r="AH37" s="211">
        <f t="shared" ca="1" si="44"/>
        <v>1.1958333333333333</v>
      </c>
      <c r="AI37" s="212">
        <f t="shared" ca="1" si="44"/>
        <v>1.1958333333333333</v>
      </c>
      <c r="AJ37" s="213">
        <f t="shared" ca="1" si="44"/>
        <v>1.1958333333333333</v>
      </c>
      <c r="AK37" s="213">
        <f t="shared" ca="1" si="44"/>
        <v>1.1958333333333333</v>
      </c>
      <c r="AL37" s="213">
        <f t="shared" ca="1" si="44"/>
        <v>1.1958333333333333</v>
      </c>
      <c r="AM37" s="213">
        <f t="shared" ca="1" si="44"/>
        <v>1.1958333333333333</v>
      </c>
      <c r="AN37" s="213">
        <f t="shared" ca="1" si="44"/>
        <v>1.1958333333333333</v>
      </c>
      <c r="AO37" s="212">
        <f t="shared" ca="1" si="44"/>
        <v>1.1958333333333333</v>
      </c>
      <c r="AP37" s="212">
        <f t="shared" ca="1" si="44"/>
        <v>1.1958333333333333</v>
      </c>
      <c r="AQ37" s="212">
        <f t="shared" ca="1" si="44"/>
        <v>1.1958333333333333</v>
      </c>
      <c r="AR37" s="212">
        <f t="shared" ca="1" si="44"/>
        <v>1.1958333333333333</v>
      </c>
      <c r="AS37" s="212">
        <f t="shared" ca="1" si="44"/>
        <v>1.1958333333333333</v>
      </c>
      <c r="AT37" s="211">
        <f t="shared" ca="1" si="44"/>
        <v>1.1958333333333333</v>
      </c>
      <c r="AU37" s="212">
        <f t="shared" ca="1" si="44"/>
        <v>1.1958333333333333</v>
      </c>
      <c r="AV37" s="213">
        <f t="shared" ca="1" si="44"/>
        <v>1.1958333333333333</v>
      </c>
      <c r="AW37" s="213">
        <f t="shared" ca="1" si="44"/>
        <v>1.1958333333333333</v>
      </c>
      <c r="AX37" s="213">
        <f t="shared" ca="1" si="44"/>
        <v>1.1958333333333333</v>
      </c>
      <c r="AY37" s="213">
        <f t="shared" ca="1" si="44"/>
        <v>1.1958333333333333</v>
      </c>
      <c r="AZ37" s="213">
        <f t="shared" ca="1" si="44"/>
        <v>1.1958333333333333</v>
      </c>
      <c r="BA37" s="212">
        <f t="shared" ca="1" si="44"/>
        <v>1.1958333333333333</v>
      </c>
      <c r="BB37" s="212">
        <f t="shared" ca="1" si="44"/>
        <v>1.1958333333333333</v>
      </c>
      <c r="BC37" s="212">
        <f t="shared" ca="1" si="44"/>
        <v>1.1958333333333333</v>
      </c>
      <c r="BD37" s="212">
        <f t="shared" ca="1" si="44"/>
        <v>1.1958333333333333</v>
      </c>
      <c r="BE37" s="212">
        <f t="shared" ca="1" si="44"/>
        <v>1.1958333333333333</v>
      </c>
      <c r="BF37" s="211">
        <f t="shared" ca="1" si="44"/>
        <v>1.1958333333333333</v>
      </c>
      <c r="BG37" s="212">
        <f t="shared" ca="1" si="44"/>
        <v>1.1958333333333333</v>
      </c>
      <c r="BH37" s="213">
        <f t="shared" ca="1" si="44"/>
        <v>1.1958333333333333</v>
      </c>
      <c r="BI37" s="213">
        <f t="shared" ca="1" si="44"/>
        <v>1.1958333333333333</v>
      </c>
      <c r="BJ37" s="213">
        <f t="shared" ca="1" si="44"/>
        <v>1.1958333333333333</v>
      </c>
      <c r="BK37" s="213">
        <f t="shared" ca="1" si="44"/>
        <v>1.1958333333333333</v>
      </c>
      <c r="BL37" s="213">
        <f t="shared" ca="1" si="44"/>
        <v>1.1958333333333333</v>
      </c>
      <c r="BM37" s="212">
        <f t="shared" ca="1" si="44"/>
        <v>1.1958333333333333</v>
      </c>
      <c r="BN37" s="212">
        <f t="shared" ca="1" si="44"/>
        <v>1.1958333333333333</v>
      </c>
      <c r="BO37" s="212">
        <f t="shared" ca="1" si="44"/>
        <v>1.1958333333333333</v>
      </c>
      <c r="BP37" s="212">
        <f t="shared" ca="1" si="44"/>
        <v>1.1958333333333333</v>
      </c>
      <c r="BQ37" s="212">
        <f t="shared" ca="1" si="44"/>
        <v>1.1958333333333333</v>
      </c>
      <c r="BR37" s="211">
        <f t="shared" ca="1" si="44"/>
        <v>1.1958333333333333</v>
      </c>
    </row>
    <row r="38" spans="1:70" ht="13.2" x14ac:dyDescent="0.3">
      <c r="B38" s="34"/>
      <c r="C38" s="185" t="s">
        <v>155</v>
      </c>
      <c r="D38" s="14"/>
      <c r="E38" s="211">
        <f ca="1">SUM(K38:V38)</f>
        <v>100.88797360713941</v>
      </c>
      <c r="F38" s="211">
        <f ca="1">SUM(W38:AH38)</f>
        <v>205.37247211699002</v>
      </c>
      <c r="G38" s="211">
        <f t="shared" ca="1" si="37"/>
        <v>260.91036872590155</v>
      </c>
      <c r="H38" s="211">
        <f t="shared" ca="1" si="38"/>
        <v>322.09626057646301</v>
      </c>
      <c r="I38" s="211">
        <f t="shared" ca="1" si="39"/>
        <v>394.20982569409887</v>
      </c>
      <c r="J38" s="248"/>
      <c r="K38" s="212">
        <f ca="1">Income!K25</f>
        <v>9.6280548832927764</v>
      </c>
      <c r="L38" s="213">
        <f ca="1">Income!L25</f>
        <v>9.2484860476091058</v>
      </c>
      <c r="M38" s="213">
        <f ca="1">Income!M25</f>
        <v>9.513701306808235</v>
      </c>
      <c r="N38" s="213">
        <f ca="1">Income!N25</f>
        <v>9.7678715549733734</v>
      </c>
      <c r="O38" s="213">
        <f ca="1">Income!O25</f>
        <v>10.188335602025717</v>
      </c>
      <c r="P38" s="213">
        <f ca="1">Income!P25</f>
        <v>7.6856866219981388</v>
      </c>
      <c r="Q38" s="212">
        <f ca="1">Income!Q25</f>
        <v>7.953598512233512</v>
      </c>
      <c r="R38" s="212">
        <f ca="1">Income!R25</f>
        <v>8.3961021230863562</v>
      </c>
      <c r="S38" s="212">
        <f ca="1">Income!S25</f>
        <v>8.8436384759092892</v>
      </c>
      <c r="T38" s="212">
        <f ca="1">Income!T25</f>
        <v>9.2962543565709588</v>
      </c>
      <c r="U38" s="212">
        <f ca="1">Income!U25</f>
        <v>11.353996949313583</v>
      </c>
      <c r="V38" s="211">
        <f ca="1">Income!V25</f>
        <v>-0.98775282668162423</v>
      </c>
      <c r="W38" s="212">
        <f ca="1">Income!W25</f>
        <v>14.442836174058691</v>
      </c>
      <c r="X38" s="213">
        <f ca="1">Income!X25</f>
        <v>15.197897197870269</v>
      </c>
      <c r="Y38" s="213">
        <f ca="1">Income!Y25</f>
        <v>15.661799087606932</v>
      </c>
      <c r="Z38" s="213">
        <f ca="1">Income!Z25</f>
        <v>16.119575968966881</v>
      </c>
      <c r="AA38" s="213">
        <f ca="1">Income!AA25</f>
        <v>16.52812503042329</v>
      </c>
      <c r="AB38" s="213">
        <f ca="1">Income!AB25</f>
        <v>16.940038123942895</v>
      </c>
      <c r="AC38" s="212">
        <f ca="1">Income!AC25</f>
        <v>17.355342110321768</v>
      </c>
      <c r="AD38" s="212">
        <f ca="1">Income!AD25</f>
        <v>17.774064060156636</v>
      </c>
      <c r="AE38" s="212">
        <f ca="1">Income!AE25</f>
        <v>18.196231255456478</v>
      </c>
      <c r="AF38" s="212">
        <f ca="1">Income!AF25</f>
        <v>18.621871191266816</v>
      </c>
      <c r="AG38" s="212">
        <f ca="1">Income!AG25</f>
        <v>19.051011577305857</v>
      </c>
      <c r="AH38" s="211">
        <f ca="1">Income!AH25</f>
        <v>19.483680339613514</v>
      </c>
      <c r="AI38" s="212">
        <f ca="1">Income!AI25</f>
        <v>19.256124579270224</v>
      </c>
      <c r="AJ38" s="213">
        <f ca="1">Income!AJ25</f>
        <v>19.695934745839605</v>
      </c>
      <c r="AK38" s="213">
        <f ca="1">Income!AK25</f>
        <v>20.139358381402189</v>
      </c>
      <c r="AL38" s="213">
        <f ca="1">Income!AL25</f>
        <v>20.586424294023033</v>
      </c>
      <c r="AM38" s="213">
        <f ca="1">Income!AM25</f>
        <v>21.037161516522261</v>
      </c>
      <c r="AN38" s="213">
        <f ca="1">Income!AN25</f>
        <v>21.491599308199902</v>
      </c>
      <c r="AO38" s="212">
        <f ca="1">Income!AO25</f>
        <v>21.949767156574271</v>
      </c>
      <c r="AP38" s="212">
        <f ca="1">Income!AP25</f>
        <v>22.411694779133541</v>
      </c>
      <c r="AQ38" s="212">
        <f ca="1">Income!AQ25</f>
        <v>22.877412125100328</v>
      </c>
      <c r="AR38" s="212">
        <f ca="1">Income!AR25</f>
        <v>23.346949377209931</v>
      </c>
      <c r="AS38" s="212">
        <f ca="1">Income!AS25</f>
        <v>23.820336953501741</v>
      </c>
      <c r="AT38" s="211">
        <f ca="1">Income!AT25</f>
        <v>24.297605509124512</v>
      </c>
      <c r="AU38" s="212">
        <f ca="1">Income!AU25</f>
        <v>24.09899159648841</v>
      </c>
      <c r="AV38" s="213">
        <f ca="1">Income!AV25</f>
        <v>24.584115033764661</v>
      </c>
      <c r="AW38" s="213">
        <f ca="1">Income!AW25</f>
        <v>25.073212856731459</v>
      </c>
      <c r="AX38" s="213">
        <f ca="1">Income!AX25</f>
        <v>25.566316687301388</v>
      </c>
      <c r="AY38" s="213">
        <f ca="1">Income!AY25</f>
        <v>26.063458393729476</v>
      </c>
      <c r="AZ38" s="213">
        <f ca="1">Income!AZ25</f>
        <v>26.564670092501672</v>
      </c>
      <c r="BA38" s="212">
        <f ca="1">Income!BA25</f>
        <v>27.069984150238088</v>
      </c>
      <c r="BB38" s="212">
        <f ca="1">Income!BB25</f>
        <v>27.579433185610455</v>
      </c>
      <c r="BC38" s="212">
        <f ca="1">Income!BC25</f>
        <v>28.093050071273996</v>
      </c>
      <c r="BD38" s="212">
        <f ca="1">Income!BD25</f>
        <v>28.610867935814284</v>
      </c>
      <c r="BE38" s="212">
        <f ca="1">Income!BE25</f>
        <v>29.132920165708278</v>
      </c>
      <c r="BF38" s="211">
        <f ca="1">Income!BF25</f>
        <v>29.659240407300757</v>
      </c>
      <c r="BG38" s="212">
        <f ca="1">Income!BG25</f>
        <v>29.493639102339849</v>
      </c>
      <c r="BH38" s="213">
        <f ca="1">Income!BH25</f>
        <v>30.028597355805609</v>
      </c>
      <c r="BI38" s="213">
        <f ca="1">Income!BI25</f>
        <v>30.567926139197894</v>
      </c>
      <c r="BJ38" s="213">
        <f ca="1">Income!BJ25</f>
        <v>31.111660158395338</v>
      </c>
      <c r="BK38" s="213">
        <f ca="1">Income!BK25</f>
        <v>31.659834389252151</v>
      </c>
      <c r="BL38" s="213">
        <f ca="1">Income!BL25</f>
        <v>32.212484079665558</v>
      </c>
      <c r="BM38" s="212">
        <f ca="1">Income!BM25</f>
        <v>38.769644751659001</v>
      </c>
      <c r="BN38" s="212">
        <f ca="1">Income!BN25</f>
        <v>33.331352203481558</v>
      </c>
      <c r="BO38" s="212">
        <f ca="1">Income!BO25</f>
        <v>33.897642511722417</v>
      </c>
      <c r="BP38" s="212">
        <f ca="1">Income!BP25</f>
        <v>32.468552033442343</v>
      </c>
      <c r="BQ38" s="212">
        <f ca="1">Income!BQ25</f>
        <v>35.044117408320318</v>
      </c>
      <c r="BR38" s="211">
        <f ca="1">Income!BR25</f>
        <v>35.624375560816837</v>
      </c>
    </row>
    <row r="39" spans="1:70" ht="13.2" x14ac:dyDescent="0.3">
      <c r="B39" s="34"/>
      <c r="C39" s="204" t="s">
        <v>188</v>
      </c>
      <c r="D39" s="14"/>
      <c r="E39" s="234">
        <f ca="1">SUM(K39:V39)</f>
        <v>8.4048204025061022</v>
      </c>
      <c r="F39" s="234">
        <f ca="1">SUM(W39:AH39)</f>
        <v>7.9277066173429009</v>
      </c>
      <c r="G39" s="234">
        <f ca="1">SUM(AI39:AT39)</f>
        <v>0</v>
      </c>
      <c r="H39" s="234">
        <f ca="1">SUM(AU39:BF39)</f>
        <v>0</v>
      </c>
      <c r="I39" s="234">
        <f ca="1">SUM(BG39:BR39)</f>
        <v>0</v>
      </c>
      <c r="J39" s="248"/>
      <c r="K39" s="244">
        <f ca="1">Income!K28</f>
        <v>0</v>
      </c>
      <c r="L39" s="245">
        <f ca="1">Income!L28</f>
        <v>0</v>
      </c>
      <c r="M39" s="245">
        <f ca="1">Income!M28</f>
        <v>0</v>
      </c>
      <c r="N39" s="245">
        <f ca="1">Income!N28</f>
        <v>0</v>
      </c>
      <c r="O39" s="245">
        <f ca="1">Income!O28</f>
        <v>0</v>
      </c>
      <c r="P39" s="245">
        <f ca="1">Income!P28</f>
        <v>8.4048204025061022</v>
      </c>
      <c r="Q39" s="244">
        <f ca="1">Income!Q28</f>
        <v>0</v>
      </c>
      <c r="R39" s="244">
        <f ca="1">Income!R28</f>
        <v>0</v>
      </c>
      <c r="S39" s="244">
        <f ca="1">Income!S28</f>
        <v>0</v>
      </c>
      <c r="T39" s="244">
        <f ca="1">Income!T28</f>
        <v>0</v>
      </c>
      <c r="U39" s="244">
        <f ca="1">Income!U28</f>
        <v>0</v>
      </c>
      <c r="V39" s="234">
        <f ca="1">Income!V28</f>
        <v>0</v>
      </c>
      <c r="W39" s="244">
        <f ca="1">Income!W28</f>
        <v>7.9277066173429009</v>
      </c>
      <c r="X39" s="245">
        <f ca="1">Income!X28</f>
        <v>0</v>
      </c>
      <c r="Y39" s="245">
        <f ca="1">Income!Y28</f>
        <v>0</v>
      </c>
      <c r="Z39" s="245">
        <f ca="1">Income!Z28</f>
        <v>0</v>
      </c>
      <c r="AA39" s="245">
        <f ca="1">Income!AA28</f>
        <v>0</v>
      </c>
      <c r="AB39" s="245">
        <f ca="1">Income!AB28</f>
        <v>0</v>
      </c>
      <c r="AC39" s="244">
        <f ca="1">Income!AC28</f>
        <v>0</v>
      </c>
      <c r="AD39" s="244">
        <f ca="1">Income!AD28</f>
        <v>0</v>
      </c>
      <c r="AE39" s="244">
        <f ca="1">Income!AE28</f>
        <v>0</v>
      </c>
      <c r="AF39" s="244">
        <f ca="1">Income!AF28</f>
        <v>0</v>
      </c>
      <c r="AG39" s="244">
        <f ca="1">Income!AG28</f>
        <v>0</v>
      </c>
      <c r="AH39" s="234">
        <f ca="1">Income!AH28</f>
        <v>0</v>
      </c>
      <c r="AI39" s="244">
        <f ca="1">Income!AI28</f>
        <v>0</v>
      </c>
      <c r="AJ39" s="245">
        <f ca="1">Income!AJ28</f>
        <v>0</v>
      </c>
      <c r="AK39" s="245">
        <f ca="1">Income!AK28</f>
        <v>0</v>
      </c>
      <c r="AL39" s="245">
        <f ca="1">Income!AL28</f>
        <v>0</v>
      </c>
      <c r="AM39" s="245">
        <f ca="1">Income!AM28</f>
        <v>0</v>
      </c>
      <c r="AN39" s="245">
        <f ca="1">Income!AN28</f>
        <v>0</v>
      </c>
      <c r="AO39" s="244">
        <f ca="1">Income!AO28</f>
        <v>0</v>
      </c>
      <c r="AP39" s="244">
        <f ca="1">Income!AP28</f>
        <v>0</v>
      </c>
      <c r="AQ39" s="244">
        <f ca="1">Income!AQ28</f>
        <v>0</v>
      </c>
      <c r="AR39" s="244">
        <f ca="1">Income!AR28</f>
        <v>0</v>
      </c>
      <c r="AS39" s="244">
        <f ca="1">Income!AS28</f>
        <v>0</v>
      </c>
      <c r="AT39" s="234">
        <f ca="1">Income!AT28</f>
        <v>0</v>
      </c>
      <c r="AU39" s="244">
        <f ca="1">Income!AU28</f>
        <v>0</v>
      </c>
      <c r="AV39" s="245">
        <f ca="1">Income!AV28</f>
        <v>0</v>
      </c>
      <c r="AW39" s="245">
        <f ca="1">Income!AW28</f>
        <v>0</v>
      </c>
      <c r="AX39" s="245">
        <f ca="1">Income!AX28</f>
        <v>0</v>
      </c>
      <c r="AY39" s="245">
        <f ca="1">Income!AY28</f>
        <v>0</v>
      </c>
      <c r="AZ39" s="245">
        <f ca="1">Income!AZ28</f>
        <v>0</v>
      </c>
      <c r="BA39" s="244">
        <f ca="1">Income!BA28</f>
        <v>0</v>
      </c>
      <c r="BB39" s="244">
        <f ca="1">Income!BB28</f>
        <v>0</v>
      </c>
      <c r="BC39" s="244">
        <f ca="1">Income!BC28</f>
        <v>0</v>
      </c>
      <c r="BD39" s="244">
        <f ca="1">Income!BD28</f>
        <v>0</v>
      </c>
      <c r="BE39" s="244">
        <f ca="1">Income!BE28</f>
        <v>0</v>
      </c>
      <c r="BF39" s="234">
        <f ca="1">Income!BF28</f>
        <v>0</v>
      </c>
      <c r="BG39" s="244">
        <f ca="1">Income!BG28</f>
        <v>0</v>
      </c>
      <c r="BH39" s="245">
        <f ca="1">Income!BH28</f>
        <v>0</v>
      </c>
      <c r="BI39" s="245">
        <f ca="1">Income!BI28</f>
        <v>0</v>
      </c>
      <c r="BJ39" s="245">
        <f ca="1">Income!BJ28</f>
        <v>0</v>
      </c>
      <c r="BK39" s="245">
        <f ca="1">Income!BK28</f>
        <v>0</v>
      </c>
      <c r="BL39" s="245">
        <f ca="1">Income!BL28</f>
        <v>0</v>
      </c>
      <c r="BM39" s="244">
        <f ca="1">Income!BM28</f>
        <v>0</v>
      </c>
      <c r="BN39" s="244">
        <f ca="1">Income!BN28</f>
        <v>0</v>
      </c>
      <c r="BO39" s="244">
        <f ca="1">Income!BO28</f>
        <v>0</v>
      </c>
      <c r="BP39" s="244">
        <f ca="1">Income!BP28</f>
        <v>0</v>
      </c>
      <c r="BQ39" s="244">
        <f ca="1">Income!BQ28</f>
        <v>0</v>
      </c>
      <c r="BR39" s="234">
        <f ca="1">Income!BR28</f>
        <v>0</v>
      </c>
    </row>
    <row r="40" spans="1:70" s="197" customFormat="1" ht="13.2" x14ac:dyDescent="0.3">
      <c r="A40" s="270"/>
      <c r="C40" s="175" t="s">
        <v>245</v>
      </c>
      <c r="D40" s="175"/>
      <c r="E40" s="222">
        <f ca="1">SUM(K40:V40)</f>
        <v>4977.0014344572392</v>
      </c>
      <c r="F40" s="222">
        <f t="shared" ca="1" si="36"/>
        <v>5716.5536466750336</v>
      </c>
      <c r="G40" s="222">
        <f t="shared" ca="1" si="37"/>
        <v>6153.5741335749908</v>
      </c>
      <c r="H40" s="222">
        <f t="shared" ca="1" si="38"/>
        <v>6636.428411579619</v>
      </c>
      <c r="I40" s="222">
        <f t="shared" ca="1" si="39"/>
        <v>7163.3408639728432</v>
      </c>
      <c r="J40" s="269"/>
      <c r="K40" s="223">
        <f ca="1">SUM(K22,K26,K29,K33,K37:K39)</f>
        <v>151.29284718089517</v>
      </c>
      <c r="L40" s="223">
        <f ca="1">SUM(L22,L26,L29,L33,L37:L39)</f>
        <v>279.64328383137132</v>
      </c>
      <c r="M40" s="223">
        <f t="shared" ref="M40:BR40" ca="1" si="45">SUM(M22,M26,M29,M33,M37:M39)</f>
        <v>464.78124307906165</v>
      </c>
      <c r="N40" s="223">
        <f t="shared" ca="1" si="45"/>
        <v>434.12684980939474</v>
      </c>
      <c r="O40" s="223">
        <f t="shared" ca="1" si="45"/>
        <v>436.68265987136419</v>
      </c>
      <c r="P40" s="223">
        <f ca="1">SUM(P22,P26,P29,P33,P37:P39)</f>
        <v>544.90752746900534</v>
      </c>
      <c r="Q40" s="223">
        <f t="shared" ca="1" si="45"/>
        <v>439.33235264098568</v>
      </c>
      <c r="R40" s="223">
        <f t="shared" ca="1" si="45"/>
        <v>441.92285209339377</v>
      </c>
      <c r="S40" s="223">
        <f t="shared" ca="1" si="45"/>
        <v>444.52870392694291</v>
      </c>
      <c r="T40" s="223">
        <f t="shared" ca="1" si="45"/>
        <v>447.14999912423491</v>
      </c>
      <c r="U40" s="223">
        <f t="shared" ca="1" si="45"/>
        <v>451.38682920439351</v>
      </c>
      <c r="V40" s="222">
        <f t="shared" ca="1" si="45"/>
        <v>441.24628622619554</v>
      </c>
      <c r="W40" s="223">
        <f t="shared" ca="1" si="45"/>
        <v>468.5413518192783</v>
      </c>
      <c r="X40" s="223">
        <f t="shared" ca="1" si="45"/>
        <v>462.87515772223333</v>
      </c>
      <c r="Y40" s="223">
        <f t="shared" ca="1" si="45"/>
        <v>465.59729457784556</v>
      </c>
      <c r="Z40" s="223">
        <f t="shared" ca="1" si="45"/>
        <v>468.35267266695212</v>
      </c>
      <c r="AA40" s="223">
        <f t="shared" ca="1" si="45"/>
        <v>471.20611547638447</v>
      </c>
      <c r="AB40" s="223">
        <f t="shared" ca="1" si="45"/>
        <v>474.07890568887001</v>
      </c>
      <c r="AC40" s="223">
        <f t="shared" ca="1" si="45"/>
        <v>476.97117467340996</v>
      </c>
      <c r="AD40" s="223">
        <f t="shared" ca="1" si="45"/>
        <v>479.88305469226384</v>
      </c>
      <c r="AE40" s="223">
        <f t="shared" ca="1" si="45"/>
        <v>482.8146789070309</v>
      </c>
      <c r="AF40" s="223">
        <f t="shared" ca="1" si="45"/>
        <v>485.76618138477477</v>
      </c>
      <c r="AG40" s="223">
        <f t="shared" ca="1" si="45"/>
        <v>488.73769710418833</v>
      </c>
      <c r="AH40" s="222">
        <f t="shared" ca="1" si="45"/>
        <v>491.72936196180211</v>
      </c>
      <c r="AI40" s="223">
        <f t="shared" ca="1" si="45"/>
        <v>495.73698434264679</v>
      </c>
      <c r="AJ40" s="223">
        <f t="shared" ca="1" si="45"/>
        <v>498.76935886889248</v>
      </c>
      <c r="AK40" s="223">
        <f t="shared" ca="1" si="45"/>
        <v>501.82229579266499</v>
      </c>
      <c r="AL40" s="223">
        <f t="shared" ca="1" si="45"/>
        <v>504.89593474476999</v>
      </c>
      <c r="AM40" s="223">
        <f t="shared" ca="1" si="45"/>
        <v>507.99041630552938</v>
      </c>
      <c r="AN40" s="223">
        <f t="shared" ca="1" si="45"/>
        <v>511.1058820112471</v>
      </c>
      <c r="AO40" s="223">
        <f t="shared" ca="1" si="45"/>
        <v>514.24247436071846</v>
      </c>
      <c r="AP40" s="223">
        <f t="shared" ca="1" si="45"/>
        <v>517.40033682178546</v>
      </c>
      <c r="AQ40" s="223">
        <f t="shared" ca="1" si="45"/>
        <v>520.57961383793543</v>
      </c>
      <c r="AR40" s="223">
        <f t="shared" ca="1" si="45"/>
        <v>523.78045083494533</v>
      </c>
      <c r="AS40" s="223">
        <f t="shared" ca="1" si="45"/>
        <v>527.00299422757132</v>
      </c>
      <c r="AT40" s="222">
        <f t="shared" ca="1" si="45"/>
        <v>530.24739142628346</v>
      </c>
      <c r="AU40" s="223">
        <f t="shared" ca="1" si="45"/>
        <v>534.53348235654687</v>
      </c>
      <c r="AV40" s="223">
        <f t="shared" ca="1" si="45"/>
        <v>537.82203341564889</v>
      </c>
      <c r="AW40" s="223">
        <f t="shared" ca="1" si="45"/>
        <v>541.13288655457313</v>
      </c>
      <c r="AX40" s="223">
        <f t="shared" ca="1" si="45"/>
        <v>544.46619323491984</v>
      </c>
      <c r="AY40" s="223">
        <f t="shared" ca="1" si="45"/>
        <v>547.82210594837386</v>
      </c>
      <c r="AZ40" s="223">
        <f t="shared" ca="1" si="45"/>
        <v>551.20077822372036</v>
      </c>
      <c r="BA40" s="223">
        <f t="shared" ca="1" si="45"/>
        <v>554.60236463390709</v>
      </c>
      <c r="BB40" s="223">
        <f t="shared" ca="1" si="45"/>
        <v>558.0270208031576</v>
      </c>
      <c r="BC40" s="223">
        <f t="shared" ca="1" si="45"/>
        <v>561.47490341412845</v>
      </c>
      <c r="BD40" s="223">
        <f t="shared" ca="1" si="45"/>
        <v>564.94617021512067</v>
      </c>
      <c r="BE40" s="223">
        <f t="shared" ca="1" si="45"/>
        <v>568.44098002733608</v>
      </c>
      <c r="BF40" s="222">
        <f t="shared" ca="1" si="45"/>
        <v>571.95949275218493</v>
      </c>
      <c r="BG40" s="223">
        <f t="shared" ca="1" si="45"/>
        <v>576.54620457832675</v>
      </c>
      <c r="BH40" s="223">
        <f t="shared" ca="1" si="45"/>
        <v>580.11260719034419</v>
      </c>
      <c r="BI40" s="223">
        <f t="shared" ca="1" si="45"/>
        <v>583.70319897430136</v>
      </c>
      <c r="BJ40" s="223">
        <f t="shared" ca="1" si="45"/>
        <v>587.3181442265186</v>
      </c>
      <c r="BK40" s="223">
        <f t="shared" ca="1" si="45"/>
        <v>590.95760836081649</v>
      </c>
      <c r="BL40" s="223">
        <f t="shared" ca="1" si="45"/>
        <v>594.62175791612731</v>
      </c>
      <c r="BM40" s="223">
        <f t="shared" ca="1" si="45"/>
        <v>604.31076056415793</v>
      </c>
      <c r="BN40" s="223">
        <f t="shared" ca="1" si="45"/>
        <v>602.02478511710649</v>
      </c>
      <c r="BO40" s="223">
        <f t="shared" ca="1" si="45"/>
        <v>605.76400153543034</v>
      </c>
      <c r="BP40" s="223">
        <f t="shared" ca="1" si="45"/>
        <v>607.52858093566704</v>
      </c>
      <c r="BQ40" s="223">
        <f t="shared" ca="1" si="45"/>
        <v>613.31869559831023</v>
      </c>
      <c r="BR40" s="222">
        <f t="shared" ca="1" si="45"/>
        <v>617.1345189757368</v>
      </c>
    </row>
    <row r="41" spans="1:70" s="197" customFormat="1" ht="13.2" x14ac:dyDescent="0.3">
      <c r="A41" s="270"/>
      <c r="C41" s="175" t="s">
        <v>246</v>
      </c>
      <c r="D41" s="199"/>
      <c r="E41" s="222">
        <f t="shared" ref="E41" ca="1" si="46">SUM(K41:V41)</f>
        <v>-36.489591470676203</v>
      </c>
      <c r="F41" s="222">
        <f t="shared" ca="1" si="36"/>
        <v>390.96387107791742</v>
      </c>
      <c r="G41" s="222">
        <f t="shared" ca="1" si="37"/>
        <v>370.23871403017853</v>
      </c>
      <c r="H41" s="222">
        <f t="shared" ca="1" si="38"/>
        <v>459.86333656419936</v>
      </c>
      <c r="I41" s="222">
        <f t="shared" ca="1" si="39"/>
        <v>615.66606512073906</v>
      </c>
      <c r="J41" s="269"/>
      <c r="K41" s="223">
        <f t="shared" ref="K41:BR41" ca="1" si="47">K20-K40</f>
        <v>-128.96897399875942</v>
      </c>
      <c r="L41" s="223">
        <f t="shared" ca="1" si="47"/>
        <v>-33.92365113180486</v>
      </c>
      <c r="M41" s="223">
        <f t="shared" ca="1" si="47"/>
        <v>-38.742215721729451</v>
      </c>
      <c r="N41" s="223">
        <f t="shared" ca="1" si="47"/>
        <v>17.232839251377186</v>
      </c>
      <c r="O41" s="223">
        <f t="shared" ca="1" si="47"/>
        <v>17.85192502828636</v>
      </c>
      <c r="P41" s="223">
        <f ca="1">P20-P40</f>
        <v>-37.175714289560347</v>
      </c>
      <c r="Q41" s="223">
        <f t="shared" ca="1" si="47"/>
        <v>21.619178347131708</v>
      </c>
      <c r="R41" s="223">
        <f t="shared" ca="1" si="47"/>
        <v>22.271044425203741</v>
      </c>
      <c r="S41" s="223">
        <f t="shared" ca="1" si="47"/>
        <v>22.930365149612612</v>
      </c>
      <c r="T41" s="223">
        <f t="shared" ca="1" si="47"/>
        <v>23.597209963994089</v>
      </c>
      <c r="U41" s="223">
        <f t="shared" ca="1" si="47"/>
        <v>22.671648903911148</v>
      </c>
      <c r="V41" s="222">
        <f t="shared" ca="1" si="47"/>
        <v>54.146752601661035</v>
      </c>
      <c r="W41" s="223">
        <f t="shared" ca="1" si="47"/>
        <v>122.20970326306059</v>
      </c>
      <c r="X41" s="223">
        <f t="shared" ca="1" si="47"/>
        <v>21.257534137402899</v>
      </c>
      <c r="Y41" s="223">
        <f t="shared" ca="1" si="47"/>
        <v>21.940820730323935</v>
      </c>
      <c r="Z41" s="223">
        <f t="shared" ca="1" si="47"/>
        <v>22.614820078107186</v>
      </c>
      <c r="AA41" s="223">
        <f t="shared" ca="1" si="47"/>
        <v>23.214877187962202</v>
      </c>
      <c r="AB41" s="223">
        <f t="shared" ca="1" si="47"/>
        <v>23.819879056401419</v>
      </c>
      <c r="AC41" s="223">
        <f t="shared" ca="1" si="47"/>
        <v>24.429865187199482</v>
      </c>
      <c r="AD41" s="223">
        <f t="shared" ca="1" si="47"/>
        <v>25.04487539280359</v>
      </c>
      <c r="AE41" s="223">
        <f t="shared" ca="1" si="47"/>
        <v>25.664949796706935</v>
      </c>
      <c r="AF41" s="223">
        <f t="shared" ca="1" si="47"/>
        <v>26.290128835838004</v>
      </c>
      <c r="AG41" s="223">
        <f t="shared" ca="1" si="47"/>
        <v>26.920453262968977</v>
      </c>
      <c r="AH41" s="222">
        <f t="shared" ca="1" si="47"/>
        <v>27.555964149142198</v>
      </c>
      <c r="AI41" s="223">
        <f t="shared" ca="1" si="47"/>
        <v>27.20103132170243</v>
      </c>
      <c r="AJ41" s="223">
        <f t="shared" ca="1" si="47"/>
        <v>27.847039624413014</v>
      </c>
      <c r="AK41" s="223">
        <f t="shared" ca="1" si="47"/>
        <v>28.498359533457744</v>
      </c>
      <c r="AL41" s="223">
        <f t="shared" ca="1" si="47"/>
        <v>29.155033417596201</v>
      </c>
      <c r="AM41" s="223">
        <f t="shared" ca="1" si="47"/>
        <v>29.817103976269664</v>
      </c>
      <c r="AN41" s="223">
        <f t="shared" ca="1" si="47"/>
        <v>30.484614242139969</v>
      </c>
      <c r="AO41" s="223">
        <f t="shared" ca="1" si="47"/>
        <v>31.157607583648542</v>
      </c>
      <c r="AP41" s="223">
        <f t="shared" ca="1" si="47"/>
        <v>31.836127707593505</v>
      </c>
      <c r="AQ41" s="223">
        <f t="shared" ca="1" si="47"/>
        <v>32.520218661727654</v>
      </c>
      <c r="AR41" s="223">
        <f t="shared" ca="1" si="47"/>
        <v>33.209924837373819</v>
      </c>
      <c r="AS41" s="223">
        <f t="shared" ca="1" si="47"/>
        <v>33.905290972063426</v>
      </c>
      <c r="AT41" s="222">
        <f t="shared" ca="1" si="47"/>
        <v>34.60636215219256</v>
      </c>
      <c r="AU41" s="223">
        <f t="shared" ca="1" si="47"/>
        <v>34.293492303198036</v>
      </c>
      <c r="AV41" s="223">
        <f t="shared" ca="1" si="47"/>
        <v>35.006110242256</v>
      </c>
      <c r="AW41" s="223">
        <f t="shared" ca="1" si="47"/>
        <v>35.724570605998679</v>
      </c>
      <c r="AX41" s="223">
        <f t="shared" ca="1" si="47"/>
        <v>36.44891990325209</v>
      </c>
      <c r="AY41" s="223">
        <f t="shared" ca="1" si="47"/>
        <v>37.17920500529624</v>
      </c>
      <c r="AZ41" s="223">
        <f t="shared" ca="1" si="47"/>
        <v>37.915473148643628</v>
      </c>
      <c r="BA41" s="223">
        <f t="shared" ca="1" si="47"/>
        <v>38.657771937841972</v>
      </c>
      <c r="BB41" s="223">
        <f t="shared" ca="1" si="47"/>
        <v>39.406149348292843</v>
      </c>
      <c r="BC41" s="223">
        <f t="shared" ca="1" si="47"/>
        <v>40.160653729099636</v>
      </c>
      <c r="BD41" s="223">
        <f t="shared" ca="1" si="47"/>
        <v>40.921333805929407</v>
      </c>
      <c r="BE41" s="223">
        <f t="shared" ca="1" si="47"/>
        <v>41.688238683900295</v>
      </c>
      <c r="BF41" s="222">
        <f t="shared" ca="1" si="47"/>
        <v>42.461417850490534</v>
      </c>
      <c r="BG41" s="223">
        <f t="shared" ca="1" si="47"/>
        <v>42.196585978785151</v>
      </c>
      <c r="BH41" s="223">
        <f t="shared" ca="1" si="47"/>
        <v>42.982463729162873</v>
      </c>
      <c r="BI41" s="223">
        <f t="shared" ca="1" si="47"/>
        <v>43.77476655416956</v>
      </c>
      <c r="BJ41" s="223">
        <f t="shared" ca="1" si="47"/>
        <v>44.573545500251385</v>
      </c>
      <c r="BK41" s="223">
        <f t="shared" ca="1" si="47"/>
        <v>45.378852011090544</v>
      </c>
      <c r="BL41" s="223">
        <f t="shared" ca="1" si="47"/>
        <v>46.190737930647856</v>
      </c>
      <c r="BM41" s="223">
        <f t="shared" ca="1" si="47"/>
        <v>56.009255506230716</v>
      </c>
      <c r="BN41" s="223">
        <f t="shared" ca="1" si="47"/>
        <v>47.834457391580941</v>
      </c>
      <c r="BO41" s="223">
        <f t="shared" ca="1" si="47"/>
        <v>48.66639664998786</v>
      </c>
      <c r="BP41" s="223">
        <f t="shared" ca="1" si="47"/>
        <v>96.505126757425955</v>
      </c>
      <c r="BQ41" s="223">
        <f t="shared" ca="1" si="47"/>
        <v>50.350701605712288</v>
      </c>
      <c r="BR41" s="222">
        <f t="shared" ca="1" si="47"/>
        <v>51.203175505693935</v>
      </c>
    </row>
    <row r="42" spans="1:70" ht="13.2" x14ac:dyDescent="0.3">
      <c r="C42" s="185" t="s">
        <v>247</v>
      </c>
      <c r="D42" s="14"/>
      <c r="E42" s="211">
        <f ca="1">V42</f>
        <v>354.14675260166103</v>
      </c>
      <c r="F42" s="211">
        <f ca="1">AH42</f>
        <v>529.47427960724121</v>
      </c>
      <c r="G42" s="211">
        <f ca="1">AT42</f>
        <v>899.7129936374198</v>
      </c>
      <c r="H42" s="211">
        <f ca="1">BF42</f>
        <v>1359.5763302016192</v>
      </c>
      <c r="I42" s="211">
        <f ca="1">BR42</f>
        <v>1975.2423953223586</v>
      </c>
      <c r="J42" s="248"/>
      <c r="K42" s="212">
        <f t="shared" ref="K42:BR42" ca="1" si="48">K6+K41</f>
        <v>46.031026001240576</v>
      </c>
      <c r="L42" s="213">
        <f t="shared" ca="1" si="48"/>
        <v>266.07634886819517</v>
      </c>
      <c r="M42" s="213">
        <f t="shared" ca="1" si="48"/>
        <v>261.25778427827055</v>
      </c>
      <c r="N42" s="213">
        <f t="shared" ca="1" si="48"/>
        <v>317.23283925137719</v>
      </c>
      <c r="O42" s="213">
        <f t="shared" ca="1" si="48"/>
        <v>317.85192502828636</v>
      </c>
      <c r="P42" s="213">
        <f t="shared" ca="1" si="48"/>
        <v>262.82428571043965</v>
      </c>
      <c r="Q42" s="212">
        <f t="shared" ca="1" si="48"/>
        <v>321.61917834713171</v>
      </c>
      <c r="R42" s="212">
        <f t="shared" ca="1" si="48"/>
        <v>322.27104442520374</v>
      </c>
      <c r="S42" s="212">
        <f t="shared" ca="1" si="48"/>
        <v>322.93036514961261</v>
      </c>
      <c r="T42" s="212">
        <f t="shared" ca="1" si="48"/>
        <v>323.59720996399409</v>
      </c>
      <c r="U42" s="212">
        <f t="shared" ca="1" si="48"/>
        <v>322.67164890391115</v>
      </c>
      <c r="V42" s="211">
        <f t="shared" ca="1" si="48"/>
        <v>354.14675260166103</v>
      </c>
      <c r="W42" s="212">
        <f t="shared" ca="1" si="48"/>
        <v>422.20970326306059</v>
      </c>
      <c r="X42" s="213">
        <f t="shared" ca="1" si="48"/>
        <v>321.2575341374029</v>
      </c>
      <c r="Y42" s="213">
        <f t="shared" ca="1" si="48"/>
        <v>321.94082073032394</v>
      </c>
      <c r="Z42" s="213">
        <f t="shared" ca="1" si="48"/>
        <v>326.53328673821841</v>
      </c>
      <c r="AA42" s="213">
        <f t="shared" ca="1" si="48"/>
        <v>349.74816392618061</v>
      </c>
      <c r="AB42" s="213">
        <f t="shared" ca="1" si="48"/>
        <v>373.56804298258203</v>
      </c>
      <c r="AC42" s="212">
        <f t="shared" ca="1" si="48"/>
        <v>397.99790816978151</v>
      </c>
      <c r="AD42" s="212">
        <f t="shared" ca="1" si="48"/>
        <v>423.0427835625851</v>
      </c>
      <c r="AE42" s="212">
        <f t="shared" ca="1" si="48"/>
        <v>448.70773335929204</v>
      </c>
      <c r="AF42" s="212">
        <f t="shared" ca="1" si="48"/>
        <v>474.99786219513004</v>
      </c>
      <c r="AG42" s="212">
        <f t="shared" ca="1" si="48"/>
        <v>501.91831545809902</v>
      </c>
      <c r="AH42" s="211">
        <f t="shared" ca="1" si="48"/>
        <v>529.47427960724121</v>
      </c>
      <c r="AI42" s="212">
        <f t="shared" ca="1" si="48"/>
        <v>556.67531092894365</v>
      </c>
      <c r="AJ42" s="213">
        <f t="shared" ca="1" si="48"/>
        <v>584.52235055335666</v>
      </c>
      <c r="AK42" s="213">
        <f t="shared" ca="1" si="48"/>
        <v>613.02071008681446</v>
      </c>
      <c r="AL42" s="213">
        <f t="shared" ca="1" si="48"/>
        <v>642.17574350441066</v>
      </c>
      <c r="AM42" s="213">
        <f t="shared" ca="1" si="48"/>
        <v>671.99284748068033</v>
      </c>
      <c r="AN42" s="213">
        <f t="shared" ca="1" si="48"/>
        <v>702.47746172282029</v>
      </c>
      <c r="AO42" s="212">
        <f t="shared" ca="1" si="48"/>
        <v>733.63506930646884</v>
      </c>
      <c r="AP42" s="212">
        <f t="shared" ca="1" si="48"/>
        <v>765.47119701406234</v>
      </c>
      <c r="AQ42" s="212">
        <f t="shared" ca="1" si="48"/>
        <v>797.99141567578999</v>
      </c>
      <c r="AR42" s="212">
        <f t="shared" ca="1" si="48"/>
        <v>831.20134051316381</v>
      </c>
      <c r="AS42" s="212">
        <f t="shared" ca="1" si="48"/>
        <v>865.10663148522724</v>
      </c>
      <c r="AT42" s="211">
        <f t="shared" ca="1" si="48"/>
        <v>899.7129936374198</v>
      </c>
      <c r="AU42" s="212">
        <f t="shared" ca="1" si="48"/>
        <v>934.00648594061784</v>
      </c>
      <c r="AV42" s="213">
        <f t="shared" ca="1" si="48"/>
        <v>969.01259618287384</v>
      </c>
      <c r="AW42" s="213">
        <f t="shared" ca="1" si="48"/>
        <v>1004.7371667888725</v>
      </c>
      <c r="AX42" s="213">
        <f t="shared" ca="1" si="48"/>
        <v>1041.1860866921247</v>
      </c>
      <c r="AY42" s="213">
        <f t="shared" ca="1" si="48"/>
        <v>1078.3652916974211</v>
      </c>
      <c r="AZ42" s="213">
        <f t="shared" ca="1" si="48"/>
        <v>1116.2807648460648</v>
      </c>
      <c r="BA42" s="212">
        <f t="shared" ca="1" si="48"/>
        <v>1154.9385367839068</v>
      </c>
      <c r="BB42" s="212">
        <f t="shared" ca="1" si="48"/>
        <v>1194.3446861321995</v>
      </c>
      <c r="BC42" s="212">
        <f t="shared" ca="1" si="48"/>
        <v>1234.505339861299</v>
      </c>
      <c r="BD42" s="212">
        <f t="shared" ca="1" si="48"/>
        <v>1275.4266736672284</v>
      </c>
      <c r="BE42" s="212">
        <f t="shared" ca="1" si="48"/>
        <v>1317.1149123511286</v>
      </c>
      <c r="BF42" s="211">
        <f t="shared" ca="1" si="48"/>
        <v>1359.5763302016192</v>
      </c>
      <c r="BG42" s="212">
        <f t="shared" ca="1" si="48"/>
        <v>1401.7729161804043</v>
      </c>
      <c r="BH42" s="213">
        <f t="shared" ca="1" si="48"/>
        <v>1444.7553799095672</v>
      </c>
      <c r="BI42" s="213">
        <f t="shared" ca="1" si="48"/>
        <v>1488.5301464637369</v>
      </c>
      <c r="BJ42" s="213">
        <f t="shared" ca="1" si="48"/>
        <v>1533.1036919639882</v>
      </c>
      <c r="BK42" s="213">
        <f t="shared" ca="1" si="48"/>
        <v>1578.4825439750789</v>
      </c>
      <c r="BL42" s="213">
        <f t="shared" ca="1" si="48"/>
        <v>1624.6732819057268</v>
      </c>
      <c r="BM42" s="212">
        <f t="shared" ca="1" si="48"/>
        <v>1680.6825374119576</v>
      </c>
      <c r="BN42" s="212">
        <f t="shared" ca="1" si="48"/>
        <v>1728.5169948035386</v>
      </c>
      <c r="BO42" s="212">
        <f t="shared" ca="1" si="48"/>
        <v>1777.1833914535264</v>
      </c>
      <c r="BP42" s="212">
        <f t="shared" ca="1" si="48"/>
        <v>1873.6885182109522</v>
      </c>
      <c r="BQ42" s="212">
        <f t="shared" ca="1" si="48"/>
        <v>1924.0392198166646</v>
      </c>
      <c r="BR42" s="211">
        <f t="shared" ca="1" si="48"/>
        <v>1975.2423953223586</v>
      </c>
    </row>
    <row r="43" spans="1:70" ht="13.2" x14ac:dyDescent="0.3">
      <c r="C43" s="178" t="s">
        <v>248</v>
      </c>
      <c r="D43" s="14"/>
      <c r="E43" s="215">
        <f t="shared" ref="E43" ca="1" si="49">SUM(K43:V43)</f>
        <v>161.4895914706762</v>
      </c>
      <c r="F43" s="215">
        <f t="shared" ref="F43" ca="1" si="50">SUM(W43:AH43)</f>
        <v>-161.4895914706762</v>
      </c>
      <c r="G43" s="215">
        <f t="shared" ref="G43" ca="1" si="51">SUM(AI43:AT43)</f>
        <v>0</v>
      </c>
      <c r="H43" s="215">
        <f t="shared" ref="H43" ca="1" si="52">SUM(AU43:BF43)</f>
        <v>0</v>
      </c>
      <c r="I43" s="215">
        <f t="shared" ref="I43" ca="1" si="53">SUM(BG43:BR43)</f>
        <v>0</v>
      </c>
      <c r="J43" s="248"/>
      <c r="K43" s="216">
        <f t="shared" ref="K43:AP43" ca="1" si="54">IF(K42 &lt; MinCash, MinCash - K42, IF(J45 &gt; 0, -MIN(K42 - MinCash, J45), 0))</f>
        <v>253.96897399875942</v>
      </c>
      <c r="L43" s="216">
        <f t="shared" ca="1" si="54"/>
        <v>33.923651131804831</v>
      </c>
      <c r="M43" s="216">
        <f t="shared" ca="1" si="54"/>
        <v>38.742215721729451</v>
      </c>
      <c r="N43" s="216">
        <f t="shared" ca="1" si="54"/>
        <v>-17.232839251377186</v>
      </c>
      <c r="O43" s="216">
        <f t="shared" ca="1" si="54"/>
        <v>-17.85192502828636</v>
      </c>
      <c r="P43" s="216">
        <f t="shared" ca="1" si="54"/>
        <v>37.175714289560347</v>
      </c>
      <c r="Q43" s="216">
        <f t="shared" ca="1" si="54"/>
        <v>-21.619178347131708</v>
      </c>
      <c r="R43" s="216">
        <f t="shared" ca="1" si="54"/>
        <v>-22.271044425203741</v>
      </c>
      <c r="S43" s="216">
        <f t="shared" ca="1" si="54"/>
        <v>-22.930365149612612</v>
      </c>
      <c r="T43" s="216">
        <f t="shared" ca="1" si="54"/>
        <v>-23.597209963994089</v>
      </c>
      <c r="U43" s="216">
        <f t="shared" ca="1" si="54"/>
        <v>-22.671648903911148</v>
      </c>
      <c r="V43" s="215">
        <f t="shared" ca="1" si="54"/>
        <v>-54.146752601661035</v>
      </c>
      <c r="W43" s="216">
        <f t="shared" ref="W43" ca="1" si="55">IF(W42 &lt; MinCash, MinCash - W42, IF(V45 &gt; 0, -MIN(W42 - MinCash, V45), 0))</f>
        <v>-122.20970326306059</v>
      </c>
      <c r="X43" s="216">
        <f t="shared" ref="X43" ca="1" si="56">IF(X42 &lt; MinCash, MinCash - X42, IF(W45 &gt; 0, -MIN(X42 - MinCash, W45), 0))</f>
        <v>-21.257534137402899</v>
      </c>
      <c r="Y43" s="216">
        <f t="shared" ca="1" si="54"/>
        <v>-18.022354070212714</v>
      </c>
      <c r="Z43" s="216">
        <f t="shared" ca="1" si="54"/>
        <v>0</v>
      </c>
      <c r="AA43" s="216">
        <f t="shared" ca="1" si="54"/>
        <v>0</v>
      </c>
      <c r="AB43" s="216">
        <f t="shared" ca="1" si="54"/>
        <v>0</v>
      </c>
      <c r="AC43" s="216">
        <f t="shared" ca="1" si="54"/>
        <v>0</v>
      </c>
      <c r="AD43" s="216">
        <f t="shared" ca="1" si="54"/>
        <v>0</v>
      </c>
      <c r="AE43" s="216">
        <f t="shared" ca="1" si="54"/>
        <v>0</v>
      </c>
      <c r="AF43" s="216">
        <f t="shared" ca="1" si="54"/>
        <v>0</v>
      </c>
      <c r="AG43" s="216">
        <f t="shared" ca="1" si="54"/>
        <v>0</v>
      </c>
      <c r="AH43" s="215">
        <f t="shared" ca="1" si="54"/>
        <v>0</v>
      </c>
      <c r="AI43" s="216">
        <f t="shared" ca="1" si="54"/>
        <v>0</v>
      </c>
      <c r="AJ43" s="216">
        <f t="shared" ca="1" si="54"/>
        <v>0</v>
      </c>
      <c r="AK43" s="216">
        <f t="shared" ca="1" si="54"/>
        <v>0</v>
      </c>
      <c r="AL43" s="216">
        <f t="shared" ca="1" si="54"/>
        <v>0</v>
      </c>
      <c r="AM43" s="216">
        <f t="shared" ca="1" si="54"/>
        <v>0</v>
      </c>
      <c r="AN43" s="216">
        <f t="shared" ca="1" si="54"/>
        <v>0</v>
      </c>
      <c r="AO43" s="216">
        <f t="shared" ca="1" si="54"/>
        <v>0</v>
      </c>
      <c r="AP43" s="216">
        <f t="shared" ca="1" si="54"/>
        <v>0</v>
      </c>
      <c r="AQ43" s="216">
        <f t="shared" ref="AQ43:BR43" ca="1" si="57">IF(AQ42 &lt; MinCash, MinCash - AQ42, IF(AP45 &gt; 0, -MIN(AQ42 - MinCash, AP45), 0))</f>
        <v>0</v>
      </c>
      <c r="AR43" s="216">
        <f t="shared" ca="1" si="57"/>
        <v>0</v>
      </c>
      <c r="AS43" s="216">
        <f t="shared" ca="1" si="57"/>
        <v>0</v>
      </c>
      <c r="AT43" s="215">
        <f t="shared" ca="1" si="57"/>
        <v>0</v>
      </c>
      <c r="AU43" s="216">
        <f t="shared" ca="1" si="57"/>
        <v>0</v>
      </c>
      <c r="AV43" s="216">
        <f t="shared" ca="1" si="57"/>
        <v>0</v>
      </c>
      <c r="AW43" s="216">
        <f t="shared" ca="1" si="57"/>
        <v>0</v>
      </c>
      <c r="AX43" s="216">
        <f t="shared" ca="1" si="57"/>
        <v>0</v>
      </c>
      <c r="AY43" s="216">
        <f t="shared" ca="1" si="57"/>
        <v>0</v>
      </c>
      <c r="AZ43" s="216">
        <f t="shared" ca="1" si="57"/>
        <v>0</v>
      </c>
      <c r="BA43" s="216">
        <f t="shared" ca="1" si="57"/>
        <v>0</v>
      </c>
      <c r="BB43" s="216">
        <f t="shared" ca="1" si="57"/>
        <v>0</v>
      </c>
      <c r="BC43" s="216">
        <f t="shared" ca="1" si="57"/>
        <v>0</v>
      </c>
      <c r="BD43" s="216">
        <f t="shared" ca="1" si="57"/>
        <v>0</v>
      </c>
      <c r="BE43" s="216">
        <f t="shared" ca="1" si="57"/>
        <v>0</v>
      </c>
      <c r="BF43" s="215">
        <f t="shared" ca="1" si="57"/>
        <v>0</v>
      </c>
      <c r="BG43" s="216">
        <f t="shared" ca="1" si="57"/>
        <v>0</v>
      </c>
      <c r="BH43" s="216">
        <f t="shared" ca="1" si="57"/>
        <v>0</v>
      </c>
      <c r="BI43" s="216">
        <f t="shared" ca="1" si="57"/>
        <v>0</v>
      </c>
      <c r="BJ43" s="216">
        <f t="shared" ca="1" si="57"/>
        <v>0</v>
      </c>
      <c r="BK43" s="216">
        <f t="shared" ca="1" si="57"/>
        <v>0</v>
      </c>
      <c r="BL43" s="216">
        <f t="shared" ca="1" si="57"/>
        <v>0</v>
      </c>
      <c r="BM43" s="216">
        <f t="shared" ca="1" si="57"/>
        <v>0</v>
      </c>
      <c r="BN43" s="216">
        <f t="shared" ca="1" si="57"/>
        <v>0</v>
      </c>
      <c r="BO43" s="216">
        <f t="shared" ca="1" si="57"/>
        <v>0</v>
      </c>
      <c r="BP43" s="216">
        <f t="shared" ca="1" si="57"/>
        <v>0</v>
      </c>
      <c r="BQ43" s="216">
        <f t="shared" ca="1" si="57"/>
        <v>0</v>
      </c>
      <c r="BR43" s="215">
        <f t="shared" ca="1" si="57"/>
        <v>0</v>
      </c>
    </row>
    <row r="44" spans="1:70" s="175" customFormat="1" ht="13.2" x14ac:dyDescent="0.3">
      <c r="A44" s="271"/>
      <c r="C44" s="181" t="s">
        <v>249</v>
      </c>
      <c r="D44" s="199"/>
      <c r="E44" s="222">
        <f t="shared" ref="E44" ca="1" si="58">V44</f>
        <v>300</v>
      </c>
      <c r="F44" s="222">
        <f t="shared" ref="F44" ca="1" si="59">AH44</f>
        <v>529.47427960724121</v>
      </c>
      <c r="G44" s="222">
        <f t="shared" ref="G44" ca="1" si="60">AT44</f>
        <v>899.7129936374198</v>
      </c>
      <c r="H44" s="222">
        <f t="shared" ref="H44" ca="1" si="61">BF44</f>
        <v>1359.5763302016192</v>
      </c>
      <c r="I44" s="222">
        <f t="shared" ref="I44" ca="1" si="62">BR44</f>
        <v>1975.2423953223586</v>
      </c>
      <c r="J44" s="269"/>
      <c r="K44" s="223">
        <f ca="1">SUM(K42:K43)</f>
        <v>300</v>
      </c>
      <c r="L44" s="223">
        <f t="shared" ref="L44:BR44" ca="1" si="63">SUM(L42:L43)</f>
        <v>300</v>
      </c>
      <c r="M44" s="223">
        <f t="shared" ca="1" si="63"/>
        <v>300</v>
      </c>
      <c r="N44" s="223">
        <f t="shared" ca="1" si="63"/>
        <v>300</v>
      </c>
      <c r="O44" s="223">
        <f t="shared" ca="1" si="63"/>
        <v>300</v>
      </c>
      <c r="P44" s="223">
        <f t="shared" ca="1" si="63"/>
        <v>300</v>
      </c>
      <c r="Q44" s="223">
        <f t="shared" ca="1" si="63"/>
        <v>300</v>
      </c>
      <c r="R44" s="223">
        <f t="shared" ca="1" si="63"/>
        <v>300</v>
      </c>
      <c r="S44" s="223">
        <f t="shared" ca="1" si="63"/>
        <v>300</v>
      </c>
      <c r="T44" s="223">
        <f t="shared" ca="1" si="63"/>
        <v>300</v>
      </c>
      <c r="U44" s="223">
        <f t="shared" ca="1" si="63"/>
        <v>300</v>
      </c>
      <c r="V44" s="222">
        <f ca="1">SUM(V42:V43)</f>
        <v>300</v>
      </c>
      <c r="W44" s="223">
        <f t="shared" ca="1" si="63"/>
        <v>300</v>
      </c>
      <c r="X44" s="223">
        <f t="shared" ca="1" si="63"/>
        <v>300</v>
      </c>
      <c r="Y44" s="223">
        <f t="shared" ca="1" si="63"/>
        <v>303.91846666011122</v>
      </c>
      <c r="Z44" s="223">
        <f t="shared" ca="1" si="63"/>
        <v>326.53328673821841</v>
      </c>
      <c r="AA44" s="223">
        <f t="shared" ca="1" si="63"/>
        <v>349.74816392618061</v>
      </c>
      <c r="AB44" s="223">
        <f t="shared" ca="1" si="63"/>
        <v>373.56804298258203</v>
      </c>
      <c r="AC44" s="223">
        <f t="shared" ca="1" si="63"/>
        <v>397.99790816978151</v>
      </c>
      <c r="AD44" s="223">
        <f t="shared" ca="1" si="63"/>
        <v>423.0427835625851</v>
      </c>
      <c r="AE44" s="223">
        <f t="shared" ca="1" si="63"/>
        <v>448.70773335929204</v>
      </c>
      <c r="AF44" s="223">
        <f t="shared" ca="1" si="63"/>
        <v>474.99786219513004</v>
      </c>
      <c r="AG44" s="223">
        <f t="shared" ca="1" si="63"/>
        <v>501.91831545809902</v>
      </c>
      <c r="AH44" s="222">
        <f t="shared" ca="1" si="63"/>
        <v>529.47427960724121</v>
      </c>
      <c r="AI44" s="223">
        <f t="shared" ca="1" si="63"/>
        <v>556.67531092894365</v>
      </c>
      <c r="AJ44" s="223">
        <f t="shared" ca="1" si="63"/>
        <v>584.52235055335666</v>
      </c>
      <c r="AK44" s="223">
        <f t="shared" ca="1" si="63"/>
        <v>613.02071008681446</v>
      </c>
      <c r="AL44" s="223">
        <f t="shared" ca="1" si="63"/>
        <v>642.17574350441066</v>
      </c>
      <c r="AM44" s="223">
        <f t="shared" ca="1" si="63"/>
        <v>671.99284748068033</v>
      </c>
      <c r="AN44" s="223">
        <f t="shared" ca="1" si="63"/>
        <v>702.47746172282029</v>
      </c>
      <c r="AO44" s="223">
        <f t="shared" ca="1" si="63"/>
        <v>733.63506930646884</v>
      </c>
      <c r="AP44" s="223">
        <f t="shared" ca="1" si="63"/>
        <v>765.47119701406234</v>
      </c>
      <c r="AQ44" s="223">
        <f t="shared" ca="1" si="63"/>
        <v>797.99141567578999</v>
      </c>
      <c r="AR44" s="223">
        <f t="shared" ca="1" si="63"/>
        <v>831.20134051316381</v>
      </c>
      <c r="AS44" s="223">
        <f t="shared" ca="1" si="63"/>
        <v>865.10663148522724</v>
      </c>
      <c r="AT44" s="222">
        <f t="shared" ca="1" si="63"/>
        <v>899.7129936374198</v>
      </c>
      <c r="AU44" s="223">
        <f t="shared" ca="1" si="63"/>
        <v>934.00648594061784</v>
      </c>
      <c r="AV44" s="223">
        <f t="shared" ca="1" si="63"/>
        <v>969.01259618287384</v>
      </c>
      <c r="AW44" s="223">
        <f t="shared" ca="1" si="63"/>
        <v>1004.7371667888725</v>
      </c>
      <c r="AX44" s="223">
        <f t="shared" ca="1" si="63"/>
        <v>1041.1860866921247</v>
      </c>
      <c r="AY44" s="223">
        <f t="shared" ca="1" si="63"/>
        <v>1078.3652916974211</v>
      </c>
      <c r="AZ44" s="223">
        <f t="shared" ca="1" si="63"/>
        <v>1116.2807648460648</v>
      </c>
      <c r="BA44" s="223">
        <f t="shared" ca="1" si="63"/>
        <v>1154.9385367839068</v>
      </c>
      <c r="BB44" s="223">
        <f t="shared" ca="1" si="63"/>
        <v>1194.3446861321995</v>
      </c>
      <c r="BC44" s="223">
        <f t="shared" ca="1" si="63"/>
        <v>1234.505339861299</v>
      </c>
      <c r="BD44" s="223">
        <f t="shared" ca="1" si="63"/>
        <v>1275.4266736672284</v>
      </c>
      <c r="BE44" s="223">
        <f t="shared" ca="1" si="63"/>
        <v>1317.1149123511286</v>
      </c>
      <c r="BF44" s="222">
        <f t="shared" ca="1" si="63"/>
        <v>1359.5763302016192</v>
      </c>
      <c r="BG44" s="223">
        <f t="shared" ca="1" si="63"/>
        <v>1401.7729161804043</v>
      </c>
      <c r="BH44" s="223">
        <f t="shared" ca="1" si="63"/>
        <v>1444.7553799095672</v>
      </c>
      <c r="BI44" s="223">
        <f t="shared" ca="1" si="63"/>
        <v>1488.5301464637369</v>
      </c>
      <c r="BJ44" s="223">
        <f t="shared" ca="1" si="63"/>
        <v>1533.1036919639882</v>
      </c>
      <c r="BK44" s="223">
        <f t="shared" ca="1" si="63"/>
        <v>1578.4825439750789</v>
      </c>
      <c r="BL44" s="223">
        <f t="shared" ca="1" si="63"/>
        <v>1624.6732819057268</v>
      </c>
      <c r="BM44" s="223">
        <f t="shared" ca="1" si="63"/>
        <v>1680.6825374119576</v>
      </c>
      <c r="BN44" s="223">
        <f t="shared" ca="1" si="63"/>
        <v>1728.5169948035386</v>
      </c>
      <c r="BO44" s="223">
        <f t="shared" ca="1" si="63"/>
        <v>1777.1833914535264</v>
      </c>
      <c r="BP44" s="223">
        <f t="shared" ca="1" si="63"/>
        <v>1873.6885182109522</v>
      </c>
      <c r="BQ44" s="223">
        <f t="shared" ca="1" si="63"/>
        <v>1924.0392198166646</v>
      </c>
      <c r="BR44" s="222">
        <f t="shared" ca="1" si="63"/>
        <v>1975.2423953223586</v>
      </c>
    </row>
    <row r="45" spans="1:70" ht="13.2" x14ac:dyDescent="0.3">
      <c r="B45" s="34"/>
      <c r="C45" s="185" t="s">
        <v>250</v>
      </c>
      <c r="D45" s="14"/>
      <c r="E45" s="211">
        <f ca="1">V45</f>
        <v>161.4895914706762</v>
      </c>
      <c r="F45" s="211">
        <f ca="1">AH45</f>
        <v>0</v>
      </c>
      <c r="G45" s="211">
        <f ca="1">AT45</f>
        <v>0</v>
      </c>
      <c r="H45" s="211">
        <f ca="1">BF45</f>
        <v>0</v>
      </c>
      <c r="I45" s="211">
        <f ca="1">BR45</f>
        <v>0</v>
      </c>
      <c r="J45" s="248"/>
      <c r="K45" s="212">
        <f ca="1">K43</f>
        <v>253.96897399875942</v>
      </c>
      <c r="L45" s="213">
        <f t="shared" ref="L45:BR45" ca="1" si="64">K45+L43</f>
        <v>287.89262513056428</v>
      </c>
      <c r="M45" s="213">
        <f t="shared" ca="1" si="64"/>
        <v>326.63484085229373</v>
      </c>
      <c r="N45" s="213">
        <f t="shared" ca="1" si="64"/>
        <v>309.40200160091655</v>
      </c>
      <c r="O45" s="213">
        <f t="shared" ca="1" si="64"/>
        <v>291.55007657263019</v>
      </c>
      <c r="P45" s="213">
        <f t="shared" ca="1" si="64"/>
        <v>328.72579086219054</v>
      </c>
      <c r="Q45" s="212">
        <f t="shared" ca="1" si="64"/>
        <v>307.10661251505883</v>
      </c>
      <c r="R45" s="212">
        <f t="shared" ca="1" si="64"/>
        <v>284.83556808985509</v>
      </c>
      <c r="S45" s="212">
        <f t="shared" ca="1" si="64"/>
        <v>261.90520294024248</v>
      </c>
      <c r="T45" s="212">
        <f t="shared" ca="1" si="64"/>
        <v>238.30799297624839</v>
      </c>
      <c r="U45" s="212">
        <f t="shared" ca="1" si="64"/>
        <v>215.63634407233724</v>
      </c>
      <c r="V45" s="211">
        <f t="shared" ca="1" si="64"/>
        <v>161.4895914706762</v>
      </c>
      <c r="W45" s="212">
        <f t="shared" ca="1" si="64"/>
        <v>39.279888207615613</v>
      </c>
      <c r="X45" s="213">
        <f t="shared" ca="1" si="64"/>
        <v>18.022354070212714</v>
      </c>
      <c r="Y45" s="213">
        <f t="shared" ca="1" si="64"/>
        <v>0</v>
      </c>
      <c r="Z45" s="213">
        <f t="shared" ca="1" si="64"/>
        <v>0</v>
      </c>
      <c r="AA45" s="213">
        <f t="shared" ca="1" si="64"/>
        <v>0</v>
      </c>
      <c r="AB45" s="213">
        <f t="shared" ca="1" si="64"/>
        <v>0</v>
      </c>
      <c r="AC45" s="212">
        <f t="shared" ca="1" si="64"/>
        <v>0</v>
      </c>
      <c r="AD45" s="212">
        <f t="shared" ca="1" si="64"/>
        <v>0</v>
      </c>
      <c r="AE45" s="212">
        <f t="shared" ca="1" si="64"/>
        <v>0</v>
      </c>
      <c r="AF45" s="212">
        <f t="shared" ca="1" si="64"/>
        <v>0</v>
      </c>
      <c r="AG45" s="212">
        <f t="shared" ca="1" si="64"/>
        <v>0</v>
      </c>
      <c r="AH45" s="211">
        <f t="shared" ca="1" si="64"/>
        <v>0</v>
      </c>
      <c r="AI45" s="212">
        <f t="shared" ca="1" si="64"/>
        <v>0</v>
      </c>
      <c r="AJ45" s="213">
        <f t="shared" ca="1" si="64"/>
        <v>0</v>
      </c>
      <c r="AK45" s="213">
        <f t="shared" ca="1" si="64"/>
        <v>0</v>
      </c>
      <c r="AL45" s="213">
        <f t="shared" ca="1" si="64"/>
        <v>0</v>
      </c>
      <c r="AM45" s="213">
        <f t="shared" ca="1" si="64"/>
        <v>0</v>
      </c>
      <c r="AN45" s="213">
        <f t="shared" ca="1" si="64"/>
        <v>0</v>
      </c>
      <c r="AO45" s="212">
        <f t="shared" ca="1" si="64"/>
        <v>0</v>
      </c>
      <c r="AP45" s="212">
        <f t="shared" ca="1" si="64"/>
        <v>0</v>
      </c>
      <c r="AQ45" s="212">
        <f t="shared" ca="1" si="64"/>
        <v>0</v>
      </c>
      <c r="AR45" s="212">
        <f t="shared" ca="1" si="64"/>
        <v>0</v>
      </c>
      <c r="AS45" s="212">
        <f t="shared" ca="1" si="64"/>
        <v>0</v>
      </c>
      <c r="AT45" s="211">
        <f t="shared" ca="1" si="64"/>
        <v>0</v>
      </c>
      <c r="AU45" s="212">
        <f t="shared" ca="1" si="64"/>
        <v>0</v>
      </c>
      <c r="AV45" s="213">
        <f t="shared" ca="1" si="64"/>
        <v>0</v>
      </c>
      <c r="AW45" s="213">
        <f t="shared" ca="1" si="64"/>
        <v>0</v>
      </c>
      <c r="AX45" s="213">
        <f t="shared" ca="1" si="64"/>
        <v>0</v>
      </c>
      <c r="AY45" s="213">
        <f t="shared" ca="1" si="64"/>
        <v>0</v>
      </c>
      <c r="AZ45" s="213">
        <f t="shared" ca="1" si="64"/>
        <v>0</v>
      </c>
      <c r="BA45" s="212">
        <f t="shared" ca="1" si="64"/>
        <v>0</v>
      </c>
      <c r="BB45" s="212">
        <f t="shared" ca="1" si="64"/>
        <v>0</v>
      </c>
      <c r="BC45" s="212">
        <f t="shared" ca="1" si="64"/>
        <v>0</v>
      </c>
      <c r="BD45" s="212">
        <f t="shared" ca="1" si="64"/>
        <v>0</v>
      </c>
      <c r="BE45" s="212">
        <f t="shared" ca="1" si="64"/>
        <v>0</v>
      </c>
      <c r="BF45" s="211">
        <f t="shared" ca="1" si="64"/>
        <v>0</v>
      </c>
      <c r="BG45" s="212">
        <f t="shared" ca="1" si="64"/>
        <v>0</v>
      </c>
      <c r="BH45" s="213">
        <f t="shared" ca="1" si="64"/>
        <v>0</v>
      </c>
      <c r="BI45" s="213">
        <f t="shared" ca="1" si="64"/>
        <v>0</v>
      </c>
      <c r="BJ45" s="213">
        <f t="shared" ca="1" si="64"/>
        <v>0</v>
      </c>
      <c r="BK45" s="213">
        <f t="shared" ca="1" si="64"/>
        <v>0</v>
      </c>
      <c r="BL45" s="213">
        <f t="shared" ca="1" si="64"/>
        <v>0</v>
      </c>
      <c r="BM45" s="212">
        <f t="shared" ca="1" si="64"/>
        <v>0</v>
      </c>
      <c r="BN45" s="212">
        <f t="shared" ca="1" si="64"/>
        <v>0</v>
      </c>
      <c r="BO45" s="212">
        <f t="shared" ca="1" si="64"/>
        <v>0</v>
      </c>
      <c r="BP45" s="212">
        <f t="shared" ca="1" si="64"/>
        <v>0</v>
      </c>
      <c r="BQ45" s="212">
        <f t="shared" ca="1" si="64"/>
        <v>0</v>
      </c>
      <c r="BR45" s="211">
        <f t="shared" ca="1" si="64"/>
        <v>0</v>
      </c>
    </row>
  </sheetData>
  <sheetProtection algorithmName="SHA-512" hashValue="BahOR0wDZYWIf9wu5h4/O93uhgJJuJ23cPhDFbp1x2kqlkueVFN4eKTR2eIf8MPRuz3J60xJ0rWl5N9s6GaWSw==" saltValue="us9kgXpRqzE5a5vi3cRBAw==" spinCount="100000" sheet="1" objects="1" scenarios="1" selectLockedCells="1" selectUnlockedCells="1"/>
  <mergeCells count="1">
    <mergeCell ref="C3:C4"/>
  </mergeCells>
  <pageMargins left="0.7" right="0.7" top="0.75" bottom="0.75" header="0.3" footer="0.3"/>
  <pageSetup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20738-BC18-4E17-B349-31ECD0D5FBC4}">
  <sheetPr codeName="Sheet4">
    <tabColor theme="5" tint="0.79998168889431442"/>
    <outlinePr showOutlineSymbols="0"/>
  </sheetPr>
  <dimension ref="A1:BR52"/>
  <sheetViews>
    <sheetView showGridLines="0" showRowColHeaders="0" showZeros="0" showOutlineSymbols="0" workbookViewId="0">
      <pane xSplit="3" ySplit="4" topLeftCell="D5" activePane="bottomRight" state="frozen"/>
      <selection activeCell="G18" sqref="G18"/>
      <selection pane="topRight" activeCell="G18" sqref="G18"/>
      <selection pane="bottomLeft" activeCell="G18" sqref="G18"/>
      <selection pane="bottomRight"/>
    </sheetView>
  </sheetViews>
  <sheetFormatPr defaultColWidth="9.109375" defaultRowHeight="12.6" x14ac:dyDescent="0.25"/>
  <cols>
    <col min="1" max="1" width="3" style="13" customWidth="1"/>
    <col min="2" max="2" width="1.6640625" style="13" customWidth="1"/>
    <col min="3" max="3" width="22" style="14" customWidth="1"/>
    <col min="4" max="4" width="1.109375" style="16" customWidth="1"/>
    <col min="5" max="5" width="8.33203125" style="16" customWidth="1"/>
    <col min="6" max="9" width="8.33203125" style="16" customWidth="1" collapsed="1"/>
    <col min="10" max="10" width="2.21875" style="48" customWidth="1"/>
    <col min="11" max="70" width="8.33203125" style="16" customWidth="1"/>
    <col min="71" max="16384" width="9.109375" style="14"/>
  </cols>
  <sheetData>
    <row r="1" spans="1:70" s="2" customFormat="1" ht="10.199999999999999" x14ac:dyDescent="0.2">
      <c r="A1" s="1" t="s">
        <v>0</v>
      </c>
      <c r="N1" s="3"/>
      <c r="R1" s="4"/>
      <c r="T1" s="4"/>
    </row>
    <row r="2" spans="1:70" s="5" customFormat="1" ht="10.199999999999999" x14ac:dyDescent="0.2">
      <c r="D2" s="37"/>
      <c r="E2" s="37"/>
      <c r="F2" s="37"/>
      <c r="G2" s="37"/>
      <c r="H2" s="37"/>
      <c r="I2" s="37"/>
    </row>
    <row r="3" spans="1:70" s="5" customFormat="1" ht="21" customHeight="1" x14ac:dyDescent="0.2">
      <c r="C3" s="579" t="s">
        <v>218</v>
      </c>
      <c r="D3" s="37"/>
      <c r="H3" s="37"/>
      <c r="I3" s="37"/>
    </row>
    <row r="4" spans="1:70" ht="13.8" x14ac:dyDescent="0.3">
      <c r="A4" s="40"/>
      <c r="B4" s="14"/>
      <c r="C4" s="579"/>
      <c r="D4" s="42"/>
      <c r="E4" s="172">
        <v>1</v>
      </c>
      <c r="F4" s="172">
        <v>2</v>
      </c>
      <c r="G4" s="172">
        <v>3</v>
      </c>
      <c r="H4" s="172">
        <v>4</v>
      </c>
      <c r="I4" s="172">
        <v>5</v>
      </c>
      <c r="J4" s="239"/>
      <c r="K4" s="10">
        <v>1</v>
      </c>
      <c r="L4" s="10">
        <v>2</v>
      </c>
      <c r="M4" s="10">
        <v>3</v>
      </c>
      <c r="N4" s="10">
        <v>4</v>
      </c>
      <c r="O4" s="10">
        <v>5</v>
      </c>
      <c r="P4" s="10">
        <v>6</v>
      </c>
      <c r="Q4" s="10">
        <v>7</v>
      </c>
      <c r="R4" s="10">
        <v>8</v>
      </c>
      <c r="S4" s="10">
        <v>9</v>
      </c>
      <c r="T4" s="10">
        <v>10</v>
      </c>
      <c r="U4" s="10">
        <v>11</v>
      </c>
      <c r="V4" s="173">
        <v>12</v>
      </c>
      <c r="W4" s="10">
        <v>13</v>
      </c>
      <c r="X4" s="10">
        <v>14</v>
      </c>
      <c r="Y4" s="10">
        <v>15</v>
      </c>
      <c r="Z4" s="10">
        <v>16</v>
      </c>
      <c r="AA4" s="10">
        <v>17</v>
      </c>
      <c r="AB4" s="10">
        <v>18</v>
      </c>
      <c r="AC4" s="10">
        <v>19</v>
      </c>
      <c r="AD4" s="10">
        <v>20</v>
      </c>
      <c r="AE4" s="10">
        <v>21</v>
      </c>
      <c r="AF4" s="10">
        <v>22</v>
      </c>
      <c r="AG4" s="10">
        <v>23</v>
      </c>
      <c r="AH4" s="173">
        <v>24</v>
      </c>
      <c r="AI4" s="10">
        <v>25</v>
      </c>
      <c r="AJ4" s="10">
        <v>26</v>
      </c>
      <c r="AK4" s="10">
        <v>27</v>
      </c>
      <c r="AL4" s="10">
        <v>28</v>
      </c>
      <c r="AM4" s="10">
        <v>29</v>
      </c>
      <c r="AN4" s="10">
        <v>30</v>
      </c>
      <c r="AO4" s="10">
        <v>31</v>
      </c>
      <c r="AP4" s="10">
        <v>32</v>
      </c>
      <c r="AQ4" s="10">
        <v>33</v>
      </c>
      <c r="AR4" s="10">
        <v>34</v>
      </c>
      <c r="AS4" s="10">
        <v>35</v>
      </c>
      <c r="AT4" s="173">
        <v>36</v>
      </c>
      <c r="AU4" s="10">
        <v>37</v>
      </c>
      <c r="AV4" s="10">
        <v>38</v>
      </c>
      <c r="AW4" s="10">
        <v>39</v>
      </c>
      <c r="AX4" s="10">
        <v>40</v>
      </c>
      <c r="AY4" s="10">
        <v>41</v>
      </c>
      <c r="AZ4" s="10">
        <v>42</v>
      </c>
      <c r="BA4" s="10">
        <v>43</v>
      </c>
      <c r="BB4" s="10">
        <v>44</v>
      </c>
      <c r="BC4" s="10">
        <v>45</v>
      </c>
      <c r="BD4" s="10">
        <v>46</v>
      </c>
      <c r="BE4" s="10">
        <v>47</v>
      </c>
      <c r="BF4" s="173">
        <v>48</v>
      </c>
      <c r="BG4" s="10">
        <v>49</v>
      </c>
      <c r="BH4" s="10">
        <v>50</v>
      </c>
      <c r="BI4" s="10">
        <v>51</v>
      </c>
      <c r="BJ4" s="10">
        <v>52</v>
      </c>
      <c r="BK4" s="10">
        <v>53</v>
      </c>
      <c r="BL4" s="10">
        <v>54</v>
      </c>
      <c r="BM4" s="10">
        <v>55</v>
      </c>
      <c r="BN4" s="10">
        <v>56</v>
      </c>
      <c r="BO4" s="10">
        <v>57</v>
      </c>
      <c r="BP4" s="10">
        <v>58</v>
      </c>
      <c r="BQ4" s="10">
        <v>59</v>
      </c>
      <c r="BR4" s="173">
        <v>60</v>
      </c>
    </row>
    <row r="5" spans="1:70" ht="6" customHeight="1" x14ac:dyDescent="0.25">
      <c r="B5" s="201"/>
      <c r="D5" s="14"/>
      <c r="E5" s="174"/>
      <c r="F5" s="174"/>
      <c r="G5" s="174"/>
      <c r="H5" s="174"/>
      <c r="I5" s="174"/>
      <c r="J5" s="210"/>
      <c r="V5" s="174"/>
      <c r="AH5" s="174"/>
      <c r="AT5" s="174"/>
      <c r="BF5" s="174"/>
      <c r="BR5" s="174"/>
    </row>
    <row r="6" spans="1:70" ht="13.2" x14ac:dyDescent="0.3">
      <c r="C6" s="185" t="s">
        <v>219</v>
      </c>
      <c r="D6" s="14"/>
      <c r="E6" s="263">
        <f t="shared" ref="E6:E12" si="0">SUM(K6:V6)</f>
        <v>0</v>
      </c>
      <c r="F6" s="263">
        <f t="shared" ref="F6:F12" si="1">SUM(W6:AH6)</f>
        <v>0</v>
      </c>
      <c r="G6" s="263">
        <f t="shared" ref="G6:G12" si="2">SUM(AI6:AT6)</f>
        <v>0</v>
      </c>
      <c r="H6" s="263">
        <f t="shared" ref="H6:H12" si="3">SUM(AU6:BF6)</f>
        <v>0</v>
      </c>
      <c r="I6" s="263">
        <f t="shared" ref="I6:I12" si="4">SUM(BG6:BR6)</f>
        <v>0</v>
      </c>
      <c r="J6" s="264"/>
      <c r="K6" s="265" cm="1">
        <f t="array" ref="K6">SUMPRODUCT(($C6=CapexCategory)*(K$4=CapexMonth)*CapexAmount)</f>
        <v>0</v>
      </c>
      <c r="L6" s="265" cm="1">
        <f t="array" ref="L6">SUMPRODUCT(($C6=CapexCategory)*(L$4=CapexMonth)*CapexAmount)</f>
        <v>0</v>
      </c>
      <c r="M6" s="265" cm="1">
        <f t="array" ref="M6">SUMPRODUCT(($C6=CapexCategory)*(M$4=CapexMonth)*CapexAmount)</f>
        <v>0</v>
      </c>
      <c r="N6" s="265" cm="1">
        <f t="array" ref="N6">SUMPRODUCT(($C6=CapexCategory)*(N$4=CapexMonth)*CapexAmount)</f>
        <v>0</v>
      </c>
      <c r="O6" s="265" cm="1">
        <f t="array" ref="O6">SUMPRODUCT(($C6=CapexCategory)*(O$4=CapexMonth)*CapexAmount)</f>
        <v>0</v>
      </c>
      <c r="P6" s="265" cm="1">
        <f t="array" ref="P6">SUMPRODUCT(($C6=CapexCategory)*(P$4=CapexMonth)*CapexAmount)</f>
        <v>0</v>
      </c>
      <c r="Q6" s="265" cm="1">
        <f t="array" ref="Q6">SUMPRODUCT(($C6=CapexCategory)*(Q$4=CapexMonth)*CapexAmount)</f>
        <v>0</v>
      </c>
      <c r="R6" s="265" cm="1">
        <f t="array" ref="R6">SUMPRODUCT(($C6=CapexCategory)*(R$4=CapexMonth)*CapexAmount)</f>
        <v>0</v>
      </c>
      <c r="S6" s="265" cm="1">
        <f t="array" ref="S6">SUMPRODUCT(($C6=CapexCategory)*(S$4=CapexMonth)*CapexAmount)</f>
        <v>0</v>
      </c>
      <c r="T6" s="265" cm="1">
        <f t="array" ref="T6">SUMPRODUCT(($C6=CapexCategory)*(T$4=CapexMonth)*CapexAmount)</f>
        <v>0</v>
      </c>
      <c r="U6" s="265" cm="1">
        <f t="array" ref="U6">SUMPRODUCT(($C6=CapexCategory)*(U$4=CapexMonth)*CapexAmount)</f>
        <v>0</v>
      </c>
      <c r="V6" s="263" cm="1">
        <f t="array" ref="V6">SUMPRODUCT(($C6=CapexCategory)*(V$4=CapexMonth)*CapexAmount)</f>
        <v>0</v>
      </c>
      <c r="W6" s="265" cm="1">
        <f t="array" ref="W6">SUMPRODUCT(($C6=CapexCategory)*(W$4=CapexMonth)*CapexAmount)</f>
        <v>0</v>
      </c>
      <c r="X6" s="265" cm="1">
        <f t="array" ref="X6">SUMPRODUCT(($C6=CapexCategory)*(X$4=CapexMonth)*CapexAmount)</f>
        <v>0</v>
      </c>
      <c r="Y6" s="265" cm="1">
        <f t="array" ref="Y6">SUMPRODUCT(($C6=CapexCategory)*(Y$4=CapexMonth)*CapexAmount)</f>
        <v>0</v>
      </c>
      <c r="Z6" s="265" cm="1">
        <f t="array" ref="Z6">SUMPRODUCT(($C6=CapexCategory)*(Z$4=CapexMonth)*CapexAmount)</f>
        <v>0</v>
      </c>
      <c r="AA6" s="265" cm="1">
        <f t="array" ref="AA6">SUMPRODUCT(($C6=CapexCategory)*(AA$4=CapexMonth)*CapexAmount)</f>
        <v>0</v>
      </c>
      <c r="AB6" s="265" cm="1">
        <f t="array" ref="AB6">SUMPRODUCT(($C6=CapexCategory)*(AB$4=CapexMonth)*CapexAmount)</f>
        <v>0</v>
      </c>
      <c r="AC6" s="265" cm="1">
        <f t="array" ref="AC6">SUMPRODUCT(($C6=CapexCategory)*(AC$4=CapexMonth)*CapexAmount)</f>
        <v>0</v>
      </c>
      <c r="AD6" s="265" cm="1">
        <f t="array" ref="AD6">SUMPRODUCT(($C6=CapexCategory)*(AD$4=CapexMonth)*CapexAmount)</f>
        <v>0</v>
      </c>
      <c r="AE6" s="265" cm="1">
        <f t="array" ref="AE6">SUMPRODUCT(($C6=CapexCategory)*(AE$4=CapexMonth)*CapexAmount)</f>
        <v>0</v>
      </c>
      <c r="AF6" s="265" cm="1">
        <f t="array" ref="AF6">SUMPRODUCT(($C6=CapexCategory)*(AF$4=CapexMonth)*CapexAmount)</f>
        <v>0</v>
      </c>
      <c r="AG6" s="265" cm="1">
        <f t="array" ref="AG6">SUMPRODUCT(($C6=CapexCategory)*(AG$4=CapexMonth)*CapexAmount)</f>
        <v>0</v>
      </c>
      <c r="AH6" s="263" cm="1">
        <f t="array" ref="AH6">SUMPRODUCT(($C6=CapexCategory)*(AH$4=CapexMonth)*CapexAmount)</f>
        <v>0</v>
      </c>
      <c r="AI6" s="265" cm="1">
        <f t="array" ref="AI6">SUMPRODUCT(($C6=CapexCategory)*(AI$4=CapexMonth)*CapexAmount)</f>
        <v>0</v>
      </c>
      <c r="AJ6" s="265" cm="1">
        <f t="array" ref="AJ6">SUMPRODUCT(($C6=CapexCategory)*(AJ$4=CapexMonth)*CapexAmount)</f>
        <v>0</v>
      </c>
      <c r="AK6" s="265" cm="1">
        <f t="array" ref="AK6">SUMPRODUCT(($C6=CapexCategory)*(AK$4=CapexMonth)*CapexAmount)</f>
        <v>0</v>
      </c>
      <c r="AL6" s="265" cm="1">
        <f t="array" ref="AL6">SUMPRODUCT(($C6=CapexCategory)*(AL$4=CapexMonth)*CapexAmount)</f>
        <v>0</v>
      </c>
      <c r="AM6" s="265" cm="1">
        <f t="array" ref="AM6">SUMPRODUCT(($C6=CapexCategory)*(AM$4=CapexMonth)*CapexAmount)</f>
        <v>0</v>
      </c>
      <c r="AN6" s="265" cm="1">
        <f t="array" ref="AN6">SUMPRODUCT(($C6=CapexCategory)*(AN$4=CapexMonth)*CapexAmount)</f>
        <v>0</v>
      </c>
      <c r="AO6" s="265" cm="1">
        <f t="array" ref="AO6">SUMPRODUCT(($C6=CapexCategory)*(AO$4=CapexMonth)*CapexAmount)</f>
        <v>0</v>
      </c>
      <c r="AP6" s="265" cm="1">
        <f t="array" ref="AP6">SUMPRODUCT(($C6=CapexCategory)*(AP$4=CapexMonth)*CapexAmount)</f>
        <v>0</v>
      </c>
      <c r="AQ6" s="265" cm="1">
        <f t="array" ref="AQ6">SUMPRODUCT(($C6=CapexCategory)*(AQ$4=CapexMonth)*CapexAmount)</f>
        <v>0</v>
      </c>
      <c r="AR6" s="265" cm="1">
        <f t="array" ref="AR6">SUMPRODUCT(($C6=CapexCategory)*(AR$4=CapexMonth)*CapexAmount)</f>
        <v>0</v>
      </c>
      <c r="AS6" s="265" cm="1">
        <f t="array" ref="AS6">SUMPRODUCT(($C6=CapexCategory)*(AS$4=CapexMonth)*CapexAmount)</f>
        <v>0</v>
      </c>
      <c r="AT6" s="263" cm="1">
        <f t="array" ref="AT6">SUMPRODUCT(($C6=CapexCategory)*(AT$4=CapexMonth)*CapexAmount)</f>
        <v>0</v>
      </c>
      <c r="AU6" s="265" cm="1">
        <f t="array" ref="AU6">SUMPRODUCT(($C6=CapexCategory)*(AU$4=CapexMonth)*CapexAmount)</f>
        <v>0</v>
      </c>
      <c r="AV6" s="265" cm="1">
        <f t="array" ref="AV6">SUMPRODUCT(($C6=CapexCategory)*(AV$4=CapexMonth)*CapexAmount)</f>
        <v>0</v>
      </c>
      <c r="AW6" s="265" cm="1">
        <f t="array" ref="AW6">SUMPRODUCT(($C6=CapexCategory)*(AW$4=CapexMonth)*CapexAmount)</f>
        <v>0</v>
      </c>
      <c r="AX6" s="265" cm="1">
        <f t="array" ref="AX6">SUMPRODUCT(($C6=CapexCategory)*(AX$4=CapexMonth)*CapexAmount)</f>
        <v>0</v>
      </c>
      <c r="AY6" s="265" cm="1">
        <f t="array" ref="AY6">SUMPRODUCT(($C6=CapexCategory)*(AY$4=CapexMonth)*CapexAmount)</f>
        <v>0</v>
      </c>
      <c r="AZ6" s="265" cm="1">
        <f t="array" ref="AZ6">SUMPRODUCT(($C6=CapexCategory)*(AZ$4=CapexMonth)*CapexAmount)</f>
        <v>0</v>
      </c>
      <c r="BA6" s="265" cm="1">
        <f t="array" ref="BA6">SUMPRODUCT(($C6=CapexCategory)*(BA$4=CapexMonth)*CapexAmount)</f>
        <v>0</v>
      </c>
      <c r="BB6" s="265" cm="1">
        <f t="array" ref="BB6">SUMPRODUCT(($C6=CapexCategory)*(BB$4=CapexMonth)*CapexAmount)</f>
        <v>0</v>
      </c>
      <c r="BC6" s="265" cm="1">
        <f t="array" ref="BC6">SUMPRODUCT(($C6=CapexCategory)*(BC$4=CapexMonth)*CapexAmount)</f>
        <v>0</v>
      </c>
      <c r="BD6" s="265" cm="1">
        <f t="array" ref="BD6">SUMPRODUCT(($C6=CapexCategory)*(BD$4=CapexMonth)*CapexAmount)</f>
        <v>0</v>
      </c>
      <c r="BE6" s="265" cm="1">
        <f t="array" ref="BE6">SUMPRODUCT(($C6=CapexCategory)*(BE$4=CapexMonth)*CapexAmount)</f>
        <v>0</v>
      </c>
      <c r="BF6" s="263" cm="1">
        <f t="array" ref="BF6">SUMPRODUCT(($C6=CapexCategory)*(BF$4=CapexMonth)*CapexAmount)</f>
        <v>0</v>
      </c>
      <c r="BG6" s="265" cm="1">
        <f t="array" ref="BG6">SUMPRODUCT(($C6=CapexCategory)*(BG$4=CapexMonth)*CapexAmount)</f>
        <v>0</v>
      </c>
      <c r="BH6" s="265" cm="1">
        <f t="array" ref="BH6">SUMPRODUCT(($C6=CapexCategory)*(BH$4=CapexMonth)*CapexAmount)</f>
        <v>0</v>
      </c>
      <c r="BI6" s="265" cm="1">
        <f t="array" ref="BI6">SUMPRODUCT(($C6=CapexCategory)*(BI$4=CapexMonth)*CapexAmount)</f>
        <v>0</v>
      </c>
      <c r="BJ6" s="265" cm="1">
        <f t="array" ref="BJ6">SUMPRODUCT(($C6=CapexCategory)*(BJ$4=CapexMonth)*CapexAmount)</f>
        <v>0</v>
      </c>
      <c r="BK6" s="265" cm="1">
        <f t="array" ref="BK6">SUMPRODUCT(($C6=CapexCategory)*(BK$4=CapexMonth)*CapexAmount)</f>
        <v>0</v>
      </c>
      <c r="BL6" s="265" cm="1">
        <f t="array" ref="BL6">SUMPRODUCT(($C6=CapexCategory)*(BL$4=CapexMonth)*CapexAmount)</f>
        <v>0</v>
      </c>
      <c r="BM6" s="265" cm="1">
        <f t="array" ref="BM6">SUMPRODUCT(($C6=CapexCategory)*(BM$4=CapexMonth)*CapexAmount)</f>
        <v>0</v>
      </c>
      <c r="BN6" s="265" cm="1">
        <f t="array" ref="BN6">SUMPRODUCT(($C6=CapexCategory)*(BN$4=CapexMonth)*CapexAmount)</f>
        <v>0</v>
      </c>
      <c r="BO6" s="265" cm="1">
        <f t="array" ref="BO6">SUMPRODUCT(($C6=CapexCategory)*(BO$4=CapexMonth)*CapexAmount)</f>
        <v>0</v>
      </c>
      <c r="BP6" s="265" cm="1">
        <f t="array" ref="BP6">SUMPRODUCT(($C6=CapexCategory)*(BP$4=CapexMonth)*CapexAmount)</f>
        <v>0</v>
      </c>
      <c r="BQ6" s="265" cm="1">
        <f t="array" ref="BQ6">SUMPRODUCT(($C6=CapexCategory)*(BQ$4=CapexMonth)*CapexAmount)</f>
        <v>0</v>
      </c>
      <c r="BR6" s="263" cm="1">
        <f t="array" ref="BR6">SUMPRODUCT(($C6=CapexCategory)*(BR$4=CapexMonth)*CapexAmount)</f>
        <v>0</v>
      </c>
    </row>
    <row r="7" spans="1:70" ht="13.2" x14ac:dyDescent="0.3">
      <c r="C7" s="185" t="s">
        <v>220</v>
      </c>
      <c r="D7" s="14"/>
      <c r="E7" s="263">
        <f t="shared" si="0"/>
        <v>40</v>
      </c>
      <c r="F7" s="263">
        <f t="shared" si="1"/>
        <v>0</v>
      </c>
      <c r="G7" s="263">
        <f t="shared" si="2"/>
        <v>0</v>
      </c>
      <c r="H7" s="263">
        <f t="shared" si="3"/>
        <v>0</v>
      </c>
      <c r="I7" s="263">
        <f t="shared" si="4"/>
        <v>0</v>
      </c>
      <c r="J7" s="264"/>
      <c r="K7" s="265" cm="1">
        <f t="array" ref="K7">SUMPRODUCT(($C7=CapexCategory)*(K$4=CapexMonth)*CapexAmount)</f>
        <v>40</v>
      </c>
      <c r="L7" s="265" cm="1">
        <f t="array" ref="L7">SUMPRODUCT(($C7=CapexCategory)*(L$4=CapexMonth)*CapexAmount)</f>
        <v>0</v>
      </c>
      <c r="M7" s="265" cm="1">
        <f t="array" ref="M7">SUMPRODUCT(($C7=CapexCategory)*(M$4=CapexMonth)*CapexAmount)</f>
        <v>0</v>
      </c>
      <c r="N7" s="265" cm="1">
        <f t="array" ref="N7">SUMPRODUCT(($C7=CapexCategory)*(N$4=CapexMonth)*CapexAmount)</f>
        <v>0</v>
      </c>
      <c r="O7" s="265" cm="1">
        <f t="array" ref="O7">SUMPRODUCT(($C7=CapexCategory)*(O$4=CapexMonth)*CapexAmount)</f>
        <v>0</v>
      </c>
      <c r="P7" s="265" cm="1">
        <f t="array" ref="P7">SUMPRODUCT(($C7=CapexCategory)*(P$4=CapexMonth)*CapexAmount)</f>
        <v>0</v>
      </c>
      <c r="Q7" s="265" cm="1">
        <f t="array" ref="Q7">SUMPRODUCT(($C7=CapexCategory)*(Q$4=CapexMonth)*CapexAmount)</f>
        <v>0</v>
      </c>
      <c r="R7" s="265" cm="1">
        <f t="array" ref="R7">SUMPRODUCT(($C7=CapexCategory)*(R$4=CapexMonth)*CapexAmount)</f>
        <v>0</v>
      </c>
      <c r="S7" s="265" cm="1">
        <f t="array" ref="S7">SUMPRODUCT(($C7=CapexCategory)*(S$4=CapexMonth)*CapexAmount)</f>
        <v>0</v>
      </c>
      <c r="T7" s="265" cm="1">
        <f t="array" ref="T7">SUMPRODUCT(($C7=CapexCategory)*(T$4=CapexMonth)*CapexAmount)</f>
        <v>0</v>
      </c>
      <c r="U7" s="265" cm="1">
        <f t="array" ref="U7">SUMPRODUCT(($C7=CapexCategory)*(U$4=CapexMonth)*CapexAmount)</f>
        <v>0</v>
      </c>
      <c r="V7" s="263" cm="1">
        <f t="array" ref="V7">SUMPRODUCT(($C7=CapexCategory)*(V$4=CapexMonth)*CapexAmount)</f>
        <v>0</v>
      </c>
      <c r="W7" s="265" cm="1">
        <f t="array" ref="W7">SUMPRODUCT(($C7=CapexCategory)*(W$4=CapexMonth)*CapexAmount)</f>
        <v>0</v>
      </c>
      <c r="X7" s="265" cm="1">
        <f t="array" ref="X7">SUMPRODUCT(($C7=CapexCategory)*(X$4=CapexMonth)*CapexAmount)</f>
        <v>0</v>
      </c>
      <c r="Y7" s="265" cm="1">
        <f t="array" ref="Y7">SUMPRODUCT(($C7=CapexCategory)*(Y$4=CapexMonth)*CapexAmount)</f>
        <v>0</v>
      </c>
      <c r="Z7" s="265" cm="1">
        <f t="array" ref="Z7">SUMPRODUCT(($C7=CapexCategory)*(Z$4=CapexMonth)*CapexAmount)</f>
        <v>0</v>
      </c>
      <c r="AA7" s="265" cm="1">
        <f t="array" ref="AA7">SUMPRODUCT(($C7=CapexCategory)*(AA$4=CapexMonth)*CapexAmount)</f>
        <v>0</v>
      </c>
      <c r="AB7" s="265" cm="1">
        <f t="array" ref="AB7">SUMPRODUCT(($C7=CapexCategory)*(AB$4=CapexMonth)*CapexAmount)</f>
        <v>0</v>
      </c>
      <c r="AC7" s="265" cm="1">
        <f t="array" ref="AC7">SUMPRODUCT(($C7=CapexCategory)*(AC$4=CapexMonth)*CapexAmount)</f>
        <v>0</v>
      </c>
      <c r="AD7" s="265" cm="1">
        <f t="array" ref="AD7">SUMPRODUCT(($C7=CapexCategory)*(AD$4=CapexMonth)*CapexAmount)</f>
        <v>0</v>
      </c>
      <c r="AE7" s="265" cm="1">
        <f t="array" ref="AE7">SUMPRODUCT(($C7=CapexCategory)*(AE$4=CapexMonth)*CapexAmount)</f>
        <v>0</v>
      </c>
      <c r="AF7" s="265" cm="1">
        <f t="array" ref="AF7">SUMPRODUCT(($C7=CapexCategory)*(AF$4=CapexMonth)*CapexAmount)</f>
        <v>0</v>
      </c>
      <c r="AG7" s="265" cm="1">
        <f t="array" ref="AG7">SUMPRODUCT(($C7=CapexCategory)*(AG$4=CapexMonth)*CapexAmount)</f>
        <v>0</v>
      </c>
      <c r="AH7" s="263" cm="1">
        <f t="array" ref="AH7">SUMPRODUCT(($C7=CapexCategory)*(AH$4=CapexMonth)*CapexAmount)</f>
        <v>0</v>
      </c>
      <c r="AI7" s="265" cm="1">
        <f t="array" ref="AI7">SUMPRODUCT(($C7=CapexCategory)*(AI$4=CapexMonth)*CapexAmount)</f>
        <v>0</v>
      </c>
      <c r="AJ7" s="265" cm="1">
        <f t="array" ref="AJ7">SUMPRODUCT(($C7=CapexCategory)*(AJ$4=CapexMonth)*CapexAmount)</f>
        <v>0</v>
      </c>
      <c r="AK7" s="265" cm="1">
        <f t="array" ref="AK7">SUMPRODUCT(($C7=CapexCategory)*(AK$4=CapexMonth)*CapexAmount)</f>
        <v>0</v>
      </c>
      <c r="AL7" s="265" cm="1">
        <f t="array" ref="AL7">SUMPRODUCT(($C7=CapexCategory)*(AL$4=CapexMonth)*CapexAmount)</f>
        <v>0</v>
      </c>
      <c r="AM7" s="265" cm="1">
        <f t="array" ref="AM7">SUMPRODUCT(($C7=CapexCategory)*(AM$4=CapexMonth)*CapexAmount)</f>
        <v>0</v>
      </c>
      <c r="AN7" s="265" cm="1">
        <f t="array" ref="AN7">SUMPRODUCT(($C7=CapexCategory)*(AN$4=CapexMonth)*CapexAmount)</f>
        <v>0</v>
      </c>
      <c r="AO7" s="265" cm="1">
        <f t="array" ref="AO7">SUMPRODUCT(($C7=CapexCategory)*(AO$4=CapexMonth)*CapexAmount)</f>
        <v>0</v>
      </c>
      <c r="AP7" s="265" cm="1">
        <f t="array" ref="AP7">SUMPRODUCT(($C7=CapexCategory)*(AP$4=CapexMonth)*CapexAmount)</f>
        <v>0</v>
      </c>
      <c r="AQ7" s="265" cm="1">
        <f t="array" ref="AQ7">SUMPRODUCT(($C7=CapexCategory)*(AQ$4=CapexMonth)*CapexAmount)</f>
        <v>0</v>
      </c>
      <c r="AR7" s="265" cm="1">
        <f t="array" ref="AR7">SUMPRODUCT(($C7=CapexCategory)*(AR$4=CapexMonth)*CapexAmount)</f>
        <v>0</v>
      </c>
      <c r="AS7" s="265" cm="1">
        <f t="array" ref="AS7">SUMPRODUCT(($C7=CapexCategory)*(AS$4=CapexMonth)*CapexAmount)</f>
        <v>0</v>
      </c>
      <c r="AT7" s="263" cm="1">
        <f t="array" ref="AT7">SUMPRODUCT(($C7=CapexCategory)*(AT$4=CapexMonth)*CapexAmount)</f>
        <v>0</v>
      </c>
      <c r="AU7" s="265" cm="1">
        <f t="array" ref="AU7">SUMPRODUCT(($C7=CapexCategory)*(AU$4=CapexMonth)*CapexAmount)</f>
        <v>0</v>
      </c>
      <c r="AV7" s="265" cm="1">
        <f t="array" ref="AV7">SUMPRODUCT(($C7=CapexCategory)*(AV$4=CapexMonth)*CapexAmount)</f>
        <v>0</v>
      </c>
      <c r="AW7" s="265" cm="1">
        <f t="array" ref="AW7">SUMPRODUCT(($C7=CapexCategory)*(AW$4=CapexMonth)*CapexAmount)</f>
        <v>0</v>
      </c>
      <c r="AX7" s="265" cm="1">
        <f t="array" ref="AX7">SUMPRODUCT(($C7=CapexCategory)*(AX$4=CapexMonth)*CapexAmount)</f>
        <v>0</v>
      </c>
      <c r="AY7" s="265" cm="1">
        <f t="array" ref="AY7">SUMPRODUCT(($C7=CapexCategory)*(AY$4=CapexMonth)*CapexAmount)</f>
        <v>0</v>
      </c>
      <c r="AZ7" s="265" cm="1">
        <f t="array" ref="AZ7">SUMPRODUCT(($C7=CapexCategory)*(AZ$4=CapexMonth)*CapexAmount)</f>
        <v>0</v>
      </c>
      <c r="BA7" s="265" cm="1">
        <f t="array" ref="BA7">SUMPRODUCT(($C7=CapexCategory)*(BA$4=CapexMonth)*CapexAmount)</f>
        <v>0</v>
      </c>
      <c r="BB7" s="265" cm="1">
        <f t="array" ref="BB7">SUMPRODUCT(($C7=CapexCategory)*(BB$4=CapexMonth)*CapexAmount)</f>
        <v>0</v>
      </c>
      <c r="BC7" s="265" cm="1">
        <f t="array" ref="BC7">SUMPRODUCT(($C7=CapexCategory)*(BC$4=CapexMonth)*CapexAmount)</f>
        <v>0</v>
      </c>
      <c r="BD7" s="265" cm="1">
        <f t="array" ref="BD7">SUMPRODUCT(($C7=CapexCategory)*(BD$4=CapexMonth)*CapexAmount)</f>
        <v>0</v>
      </c>
      <c r="BE7" s="265" cm="1">
        <f t="array" ref="BE7">SUMPRODUCT(($C7=CapexCategory)*(BE$4=CapexMonth)*CapexAmount)</f>
        <v>0</v>
      </c>
      <c r="BF7" s="263" cm="1">
        <f t="array" ref="BF7">SUMPRODUCT(($C7=CapexCategory)*(BF$4=CapexMonth)*CapexAmount)</f>
        <v>0</v>
      </c>
      <c r="BG7" s="265" cm="1">
        <f t="array" ref="BG7">SUMPRODUCT(($C7=CapexCategory)*(BG$4=CapexMonth)*CapexAmount)</f>
        <v>0</v>
      </c>
      <c r="BH7" s="265" cm="1">
        <f t="array" ref="BH7">SUMPRODUCT(($C7=CapexCategory)*(BH$4=CapexMonth)*CapexAmount)</f>
        <v>0</v>
      </c>
      <c r="BI7" s="265" cm="1">
        <f t="array" ref="BI7">SUMPRODUCT(($C7=CapexCategory)*(BI$4=CapexMonth)*CapexAmount)</f>
        <v>0</v>
      </c>
      <c r="BJ7" s="265" cm="1">
        <f t="array" ref="BJ7">SUMPRODUCT(($C7=CapexCategory)*(BJ$4=CapexMonth)*CapexAmount)</f>
        <v>0</v>
      </c>
      <c r="BK7" s="265" cm="1">
        <f t="array" ref="BK7">SUMPRODUCT(($C7=CapexCategory)*(BK$4=CapexMonth)*CapexAmount)</f>
        <v>0</v>
      </c>
      <c r="BL7" s="265" cm="1">
        <f t="array" ref="BL7">SUMPRODUCT(($C7=CapexCategory)*(BL$4=CapexMonth)*CapexAmount)</f>
        <v>0</v>
      </c>
      <c r="BM7" s="265" cm="1">
        <f t="array" ref="BM7">SUMPRODUCT(($C7=CapexCategory)*(BM$4=CapexMonth)*CapexAmount)</f>
        <v>0</v>
      </c>
      <c r="BN7" s="265" cm="1">
        <f t="array" ref="BN7">SUMPRODUCT(($C7=CapexCategory)*(BN$4=CapexMonth)*CapexAmount)</f>
        <v>0</v>
      </c>
      <c r="BO7" s="265" cm="1">
        <f t="array" ref="BO7">SUMPRODUCT(($C7=CapexCategory)*(BO$4=CapexMonth)*CapexAmount)</f>
        <v>0</v>
      </c>
      <c r="BP7" s="265" cm="1">
        <f t="array" ref="BP7">SUMPRODUCT(($C7=CapexCategory)*(BP$4=CapexMonth)*CapexAmount)</f>
        <v>0</v>
      </c>
      <c r="BQ7" s="265" cm="1">
        <f t="array" ref="BQ7">SUMPRODUCT(($C7=CapexCategory)*(BQ$4=CapexMonth)*CapexAmount)</f>
        <v>0</v>
      </c>
      <c r="BR7" s="263" cm="1">
        <f t="array" ref="BR7">SUMPRODUCT(($C7=CapexCategory)*(BR$4=CapexMonth)*CapexAmount)</f>
        <v>0</v>
      </c>
    </row>
    <row r="8" spans="1:70" ht="13.2" x14ac:dyDescent="0.3">
      <c r="C8" s="185" t="s">
        <v>221</v>
      </c>
      <c r="D8" s="14"/>
      <c r="E8" s="263">
        <f t="shared" si="0"/>
        <v>0</v>
      </c>
      <c r="F8" s="263">
        <f t="shared" si="1"/>
        <v>0</v>
      </c>
      <c r="G8" s="263">
        <f t="shared" si="2"/>
        <v>0</v>
      </c>
      <c r="H8" s="263">
        <f t="shared" si="3"/>
        <v>0</v>
      </c>
      <c r="I8" s="263">
        <f t="shared" si="4"/>
        <v>0</v>
      </c>
      <c r="J8" s="264"/>
      <c r="K8" s="265" cm="1">
        <f t="array" ref="K8">SUMPRODUCT(($C8=CapexCategory)*(K$4=CapexMonth)*CapexAmount)</f>
        <v>0</v>
      </c>
      <c r="L8" s="265" cm="1">
        <f t="array" ref="L8">SUMPRODUCT(($C8=CapexCategory)*(L$4=CapexMonth)*CapexAmount)</f>
        <v>0</v>
      </c>
      <c r="M8" s="265" cm="1">
        <f t="array" ref="M8">SUMPRODUCT(($C8=CapexCategory)*(M$4=CapexMonth)*CapexAmount)</f>
        <v>0</v>
      </c>
      <c r="N8" s="265" cm="1">
        <f t="array" ref="N8">SUMPRODUCT(($C8=CapexCategory)*(N$4=CapexMonth)*CapexAmount)</f>
        <v>0</v>
      </c>
      <c r="O8" s="265" cm="1">
        <f t="array" ref="O8">SUMPRODUCT(($C8=CapexCategory)*(O$4=CapexMonth)*CapexAmount)</f>
        <v>0</v>
      </c>
      <c r="P8" s="265" cm="1">
        <f t="array" ref="P8">SUMPRODUCT(($C8=CapexCategory)*(P$4=CapexMonth)*CapexAmount)</f>
        <v>0</v>
      </c>
      <c r="Q8" s="265" cm="1">
        <f t="array" ref="Q8">SUMPRODUCT(($C8=CapexCategory)*(Q$4=CapexMonth)*CapexAmount)</f>
        <v>0</v>
      </c>
      <c r="R8" s="265" cm="1">
        <f t="array" ref="R8">SUMPRODUCT(($C8=CapexCategory)*(R$4=CapexMonth)*CapexAmount)</f>
        <v>0</v>
      </c>
      <c r="S8" s="265" cm="1">
        <f t="array" ref="S8">SUMPRODUCT(($C8=CapexCategory)*(S$4=CapexMonth)*CapexAmount)</f>
        <v>0</v>
      </c>
      <c r="T8" s="265" cm="1">
        <f t="array" ref="T8">SUMPRODUCT(($C8=CapexCategory)*(T$4=CapexMonth)*CapexAmount)</f>
        <v>0</v>
      </c>
      <c r="U8" s="265" cm="1">
        <f t="array" ref="U8">SUMPRODUCT(($C8=CapexCategory)*(U$4=CapexMonth)*CapexAmount)</f>
        <v>0</v>
      </c>
      <c r="V8" s="263" cm="1">
        <f t="array" ref="V8">SUMPRODUCT(($C8=CapexCategory)*(V$4=CapexMonth)*CapexAmount)</f>
        <v>0</v>
      </c>
      <c r="W8" s="265" cm="1">
        <f t="array" ref="W8">SUMPRODUCT(($C8=CapexCategory)*(W$4=CapexMonth)*CapexAmount)</f>
        <v>0</v>
      </c>
      <c r="X8" s="265" cm="1">
        <f t="array" ref="X8">SUMPRODUCT(($C8=CapexCategory)*(X$4=CapexMonth)*CapexAmount)</f>
        <v>0</v>
      </c>
      <c r="Y8" s="265" cm="1">
        <f t="array" ref="Y8">SUMPRODUCT(($C8=CapexCategory)*(Y$4=CapexMonth)*CapexAmount)</f>
        <v>0</v>
      </c>
      <c r="Z8" s="265" cm="1">
        <f t="array" ref="Z8">SUMPRODUCT(($C8=CapexCategory)*(Z$4=CapexMonth)*CapexAmount)</f>
        <v>0</v>
      </c>
      <c r="AA8" s="265" cm="1">
        <f t="array" ref="AA8">SUMPRODUCT(($C8=CapexCategory)*(AA$4=CapexMonth)*CapexAmount)</f>
        <v>0</v>
      </c>
      <c r="AB8" s="265" cm="1">
        <f t="array" ref="AB8">SUMPRODUCT(($C8=CapexCategory)*(AB$4=CapexMonth)*CapexAmount)</f>
        <v>0</v>
      </c>
      <c r="AC8" s="265" cm="1">
        <f t="array" ref="AC8">SUMPRODUCT(($C8=CapexCategory)*(AC$4=CapexMonth)*CapexAmount)</f>
        <v>0</v>
      </c>
      <c r="AD8" s="265" cm="1">
        <f t="array" ref="AD8">SUMPRODUCT(($C8=CapexCategory)*(AD$4=CapexMonth)*CapexAmount)</f>
        <v>0</v>
      </c>
      <c r="AE8" s="265" cm="1">
        <f t="array" ref="AE8">SUMPRODUCT(($C8=CapexCategory)*(AE$4=CapexMonth)*CapexAmount)</f>
        <v>0</v>
      </c>
      <c r="AF8" s="265" cm="1">
        <f t="array" ref="AF8">SUMPRODUCT(($C8=CapexCategory)*(AF$4=CapexMonth)*CapexAmount)</f>
        <v>0</v>
      </c>
      <c r="AG8" s="265" cm="1">
        <f t="array" ref="AG8">SUMPRODUCT(($C8=CapexCategory)*(AG$4=CapexMonth)*CapexAmount)</f>
        <v>0</v>
      </c>
      <c r="AH8" s="263" cm="1">
        <f t="array" ref="AH8">SUMPRODUCT(($C8=CapexCategory)*(AH$4=CapexMonth)*CapexAmount)</f>
        <v>0</v>
      </c>
      <c r="AI8" s="265" cm="1">
        <f t="array" ref="AI8">SUMPRODUCT(($C8=CapexCategory)*(AI$4=CapexMonth)*CapexAmount)</f>
        <v>0</v>
      </c>
      <c r="AJ8" s="265" cm="1">
        <f t="array" ref="AJ8">SUMPRODUCT(($C8=CapexCategory)*(AJ$4=CapexMonth)*CapexAmount)</f>
        <v>0</v>
      </c>
      <c r="AK8" s="265" cm="1">
        <f t="array" ref="AK8">SUMPRODUCT(($C8=CapexCategory)*(AK$4=CapexMonth)*CapexAmount)</f>
        <v>0</v>
      </c>
      <c r="AL8" s="265" cm="1">
        <f t="array" ref="AL8">SUMPRODUCT(($C8=CapexCategory)*(AL$4=CapexMonth)*CapexAmount)</f>
        <v>0</v>
      </c>
      <c r="AM8" s="265" cm="1">
        <f t="array" ref="AM8">SUMPRODUCT(($C8=CapexCategory)*(AM$4=CapexMonth)*CapexAmount)</f>
        <v>0</v>
      </c>
      <c r="AN8" s="265" cm="1">
        <f t="array" ref="AN8">SUMPRODUCT(($C8=CapexCategory)*(AN$4=CapexMonth)*CapexAmount)</f>
        <v>0</v>
      </c>
      <c r="AO8" s="265" cm="1">
        <f t="array" ref="AO8">SUMPRODUCT(($C8=CapexCategory)*(AO$4=CapexMonth)*CapexAmount)</f>
        <v>0</v>
      </c>
      <c r="AP8" s="265" cm="1">
        <f t="array" ref="AP8">SUMPRODUCT(($C8=CapexCategory)*(AP$4=CapexMonth)*CapexAmount)</f>
        <v>0</v>
      </c>
      <c r="AQ8" s="265" cm="1">
        <f t="array" ref="AQ8">SUMPRODUCT(($C8=CapexCategory)*(AQ$4=CapexMonth)*CapexAmount)</f>
        <v>0</v>
      </c>
      <c r="AR8" s="265" cm="1">
        <f t="array" ref="AR8">SUMPRODUCT(($C8=CapexCategory)*(AR$4=CapexMonth)*CapexAmount)</f>
        <v>0</v>
      </c>
      <c r="AS8" s="265" cm="1">
        <f t="array" ref="AS8">SUMPRODUCT(($C8=CapexCategory)*(AS$4=CapexMonth)*CapexAmount)</f>
        <v>0</v>
      </c>
      <c r="AT8" s="263" cm="1">
        <f t="array" ref="AT8">SUMPRODUCT(($C8=CapexCategory)*(AT$4=CapexMonth)*CapexAmount)</f>
        <v>0</v>
      </c>
      <c r="AU8" s="265" cm="1">
        <f t="array" ref="AU8">SUMPRODUCT(($C8=CapexCategory)*(AU$4=CapexMonth)*CapexAmount)</f>
        <v>0</v>
      </c>
      <c r="AV8" s="265" cm="1">
        <f t="array" ref="AV8">SUMPRODUCT(($C8=CapexCategory)*(AV$4=CapexMonth)*CapexAmount)</f>
        <v>0</v>
      </c>
      <c r="AW8" s="265" cm="1">
        <f t="array" ref="AW8">SUMPRODUCT(($C8=CapexCategory)*(AW$4=CapexMonth)*CapexAmount)</f>
        <v>0</v>
      </c>
      <c r="AX8" s="265" cm="1">
        <f t="array" ref="AX8">SUMPRODUCT(($C8=CapexCategory)*(AX$4=CapexMonth)*CapexAmount)</f>
        <v>0</v>
      </c>
      <c r="AY8" s="265" cm="1">
        <f t="array" ref="AY8">SUMPRODUCT(($C8=CapexCategory)*(AY$4=CapexMonth)*CapexAmount)</f>
        <v>0</v>
      </c>
      <c r="AZ8" s="265" cm="1">
        <f t="array" ref="AZ8">SUMPRODUCT(($C8=CapexCategory)*(AZ$4=CapexMonth)*CapexAmount)</f>
        <v>0</v>
      </c>
      <c r="BA8" s="265" cm="1">
        <f t="array" ref="BA8">SUMPRODUCT(($C8=CapexCategory)*(BA$4=CapexMonth)*CapexAmount)</f>
        <v>0</v>
      </c>
      <c r="BB8" s="265" cm="1">
        <f t="array" ref="BB8">SUMPRODUCT(($C8=CapexCategory)*(BB$4=CapexMonth)*CapexAmount)</f>
        <v>0</v>
      </c>
      <c r="BC8" s="265" cm="1">
        <f t="array" ref="BC8">SUMPRODUCT(($C8=CapexCategory)*(BC$4=CapexMonth)*CapexAmount)</f>
        <v>0</v>
      </c>
      <c r="BD8" s="265" cm="1">
        <f t="array" ref="BD8">SUMPRODUCT(($C8=CapexCategory)*(BD$4=CapexMonth)*CapexAmount)</f>
        <v>0</v>
      </c>
      <c r="BE8" s="265" cm="1">
        <f t="array" ref="BE8">SUMPRODUCT(($C8=CapexCategory)*(BE$4=CapexMonth)*CapexAmount)</f>
        <v>0</v>
      </c>
      <c r="BF8" s="263" cm="1">
        <f t="array" ref="BF8">SUMPRODUCT(($C8=CapexCategory)*(BF$4=CapexMonth)*CapexAmount)</f>
        <v>0</v>
      </c>
      <c r="BG8" s="265" cm="1">
        <f t="array" ref="BG8">SUMPRODUCT(($C8=CapexCategory)*(BG$4=CapexMonth)*CapexAmount)</f>
        <v>0</v>
      </c>
      <c r="BH8" s="265" cm="1">
        <f t="array" ref="BH8">SUMPRODUCT(($C8=CapexCategory)*(BH$4=CapexMonth)*CapexAmount)</f>
        <v>0</v>
      </c>
      <c r="BI8" s="265" cm="1">
        <f t="array" ref="BI8">SUMPRODUCT(($C8=CapexCategory)*(BI$4=CapexMonth)*CapexAmount)</f>
        <v>0</v>
      </c>
      <c r="BJ8" s="265" cm="1">
        <f t="array" ref="BJ8">SUMPRODUCT(($C8=CapexCategory)*(BJ$4=CapexMonth)*CapexAmount)</f>
        <v>0</v>
      </c>
      <c r="BK8" s="265" cm="1">
        <f t="array" ref="BK8">SUMPRODUCT(($C8=CapexCategory)*(BK$4=CapexMonth)*CapexAmount)</f>
        <v>0</v>
      </c>
      <c r="BL8" s="265" cm="1">
        <f t="array" ref="BL8">SUMPRODUCT(($C8=CapexCategory)*(BL$4=CapexMonth)*CapexAmount)</f>
        <v>0</v>
      </c>
      <c r="BM8" s="265" cm="1">
        <f t="array" ref="BM8">SUMPRODUCT(($C8=CapexCategory)*(BM$4=CapexMonth)*CapexAmount)</f>
        <v>0</v>
      </c>
      <c r="BN8" s="265" cm="1">
        <f t="array" ref="BN8">SUMPRODUCT(($C8=CapexCategory)*(BN$4=CapexMonth)*CapexAmount)</f>
        <v>0</v>
      </c>
      <c r="BO8" s="265" cm="1">
        <f t="array" ref="BO8">SUMPRODUCT(($C8=CapexCategory)*(BO$4=CapexMonth)*CapexAmount)</f>
        <v>0</v>
      </c>
      <c r="BP8" s="265" cm="1">
        <f t="array" ref="BP8">SUMPRODUCT(($C8=CapexCategory)*(BP$4=CapexMonth)*CapexAmount)</f>
        <v>0</v>
      </c>
      <c r="BQ8" s="265" cm="1">
        <f t="array" ref="BQ8">SUMPRODUCT(($C8=CapexCategory)*(BQ$4=CapexMonth)*CapexAmount)</f>
        <v>0</v>
      </c>
      <c r="BR8" s="263" cm="1">
        <f t="array" ref="BR8">SUMPRODUCT(($C8=CapexCategory)*(BR$4=CapexMonth)*CapexAmount)</f>
        <v>0</v>
      </c>
    </row>
    <row r="9" spans="1:70" ht="13.2" x14ac:dyDescent="0.3">
      <c r="C9" s="185" t="s">
        <v>222</v>
      </c>
      <c r="D9" s="14"/>
      <c r="E9" s="263">
        <f t="shared" si="0"/>
        <v>100</v>
      </c>
      <c r="F9" s="263">
        <f t="shared" si="1"/>
        <v>0</v>
      </c>
      <c r="G9" s="263">
        <f t="shared" si="2"/>
        <v>0</v>
      </c>
      <c r="H9" s="263">
        <f t="shared" si="3"/>
        <v>0</v>
      </c>
      <c r="I9" s="263">
        <f t="shared" si="4"/>
        <v>0</v>
      </c>
      <c r="J9" s="264"/>
      <c r="K9" s="265" cm="1">
        <f t="array" ref="K9">SUMPRODUCT(($C9=CapexCategory)*(K$4=CapexMonth)*CapexAmount)</f>
        <v>0</v>
      </c>
      <c r="L9" s="265" cm="1">
        <f t="array" ref="L9">SUMPRODUCT(($C9=CapexCategory)*(L$4=CapexMonth)*CapexAmount)</f>
        <v>0</v>
      </c>
      <c r="M9" s="265" cm="1">
        <f t="array" ref="M9">SUMPRODUCT(($C9=CapexCategory)*(M$4=CapexMonth)*CapexAmount)</f>
        <v>0</v>
      </c>
      <c r="N9" s="265" cm="1">
        <f t="array" ref="N9">SUMPRODUCT(($C9=CapexCategory)*(N$4=CapexMonth)*CapexAmount)</f>
        <v>0</v>
      </c>
      <c r="O9" s="265" cm="1">
        <f t="array" ref="O9">SUMPRODUCT(($C9=CapexCategory)*(O$4=CapexMonth)*CapexAmount)</f>
        <v>0</v>
      </c>
      <c r="P9" s="265" cm="1">
        <f t="array" ref="P9">SUMPRODUCT(($C9=CapexCategory)*(P$4=CapexMonth)*CapexAmount)</f>
        <v>100</v>
      </c>
      <c r="Q9" s="265" cm="1">
        <f t="array" ref="Q9">SUMPRODUCT(($C9=CapexCategory)*(Q$4=CapexMonth)*CapexAmount)</f>
        <v>0</v>
      </c>
      <c r="R9" s="265" cm="1">
        <f t="array" ref="R9">SUMPRODUCT(($C9=CapexCategory)*(R$4=CapexMonth)*CapexAmount)</f>
        <v>0</v>
      </c>
      <c r="S9" s="265" cm="1">
        <f t="array" ref="S9">SUMPRODUCT(($C9=CapexCategory)*(S$4=CapexMonth)*CapexAmount)</f>
        <v>0</v>
      </c>
      <c r="T9" s="265" cm="1">
        <f t="array" ref="T9">SUMPRODUCT(($C9=CapexCategory)*(T$4=CapexMonth)*CapexAmount)</f>
        <v>0</v>
      </c>
      <c r="U9" s="265" cm="1">
        <f t="array" ref="U9">SUMPRODUCT(($C9=CapexCategory)*(U$4=CapexMonth)*CapexAmount)</f>
        <v>0</v>
      </c>
      <c r="V9" s="263" cm="1">
        <f t="array" ref="V9">SUMPRODUCT(($C9=CapexCategory)*(V$4=CapexMonth)*CapexAmount)</f>
        <v>0</v>
      </c>
      <c r="W9" s="265" cm="1">
        <f t="array" ref="W9">SUMPRODUCT(($C9=CapexCategory)*(W$4=CapexMonth)*CapexAmount)</f>
        <v>0</v>
      </c>
      <c r="X9" s="265" cm="1">
        <f t="array" ref="X9">SUMPRODUCT(($C9=CapexCategory)*(X$4=CapexMonth)*CapexAmount)</f>
        <v>0</v>
      </c>
      <c r="Y9" s="265" cm="1">
        <f t="array" ref="Y9">SUMPRODUCT(($C9=CapexCategory)*(Y$4=CapexMonth)*CapexAmount)</f>
        <v>0</v>
      </c>
      <c r="Z9" s="265" cm="1">
        <f t="array" ref="Z9">SUMPRODUCT(($C9=CapexCategory)*(Z$4=CapexMonth)*CapexAmount)</f>
        <v>0</v>
      </c>
      <c r="AA9" s="265" cm="1">
        <f t="array" ref="AA9">SUMPRODUCT(($C9=CapexCategory)*(AA$4=CapexMonth)*CapexAmount)</f>
        <v>0</v>
      </c>
      <c r="AB9" s="265" cm="1">
        <f t="array" ref="AB9">SUMPRODUCT(($C9=CapexCategory)*(AB$4=CapexMonth)*CapexAmount)</f>
        <v>0</v>
      </c>
      <c r="AC9" s="265" cm="1">
        <f t="array" ref="AC9">SUMPRODUCT(($C9=CapexCategory)*(AC$4=CapexMonth)*CapexAmount)</f>
        <v>0</v>
      </c>
      <c r="AD9" s="265" cm="1">
        <f t="array" ref="AD9">SUMPRODUCT(($C9=CapexCategory)*(AD$4=CapexMonth)*CapexAmount)</f>
        <v>0</v>
      </c>
      <c r="AE9" s="265" cm="1">
        <f t="array" ref="AE9">SUMPRODUCT(($C9=CapexCategory)*(AE$4=CapexMonth)*CapexAmount)</f>
        <v>0</v>
      </c>
      <c r="AF9" s="265" cm="1">
        <f t="array" ref="AF9">SUMPRODUCT(($C9=CapexCategory)*(AF$4=CapexMonth)*CapexAmount)</f>
        <v>0</v>
      </c>
      <c r="AG9" s="265" cm="1">
        <f t="array" ref="AG9">SUMPRODUCT(($C9=CapexCategory)*(AG$4=CapexMonth)*CapexAmount)</f>
        <v>0</v>
      </c>
      <c r="AH9" s="263" cm="1">
        <f t="array" ref="AH9">SUMPRODUCT(($C9=CapexCategory)*(AH$4=CapexMonth)*CapexAmount)</f>
        <v>0</v>
      </c>
      <c r="AI9" s="265" cm="1">
        <f t="array" ref="AI9">SUMPRODUCT(($C9=CapexCategory)*(AI$4=CapexMonth)*CapexAmount)</f>
        <v>0</v>
      </c>
      <c r="AJ9" s="265" cm="1">
        <f t="array" ref="AJ9">SUMPRODUCT(($C9=CapexCategory)*(AJ$4=CapexMonth)*CapexAmount)</f>
        <v>0</v>
      </c>
      <c r="AK9" s="265" cm="1">
        <f t="array" ref="AK9">SUMPRODUCT(($C9=CapexCategory)*(AK$4=CapexMonth)*CapexAmount)</f>
        <v>0</v>
      </c>
      <c r="AL9" s="265" cm="1">
        <f t="array" ref="AL9">SUMPRODUCT(($C9=CapexCategory)*(AL$4=CapexMonth)*CapexAmount)</f>
        <v>0</v>
      </c>
      <c r="AM9" s="265" cm="1">
        <f t="array" ref="AM9">SUMPRODUCT(($C9=CapexCategory)*(AM$4=CapexMonth)*CapexAmount)</f>
        <v>0</v>
      </c>
      <c r="AN9" s="265" cm="1">
        <f t="array" ref="AN9">SUMPRODUCT(($C9=CapexCategory)*(AN$4=CapexMonth)*CapexAmount)</f>
        <v>0</v>
      </c>
      <c r="AO9" s="265" cm="1">
        <f t="array" ref="AO9">SUMPRODUCT(($C9=CapexCategory)*(AO$4=CapexMonth)*CapexAmount)</f>
        <v>0</v>
      </c>
      <c r="AP9" s="265" cm="1">
        <f t="array" ref="AP9">SUMPRODUCT(($C9=CapexCategory)*(AP$4=CapexMonth)*CapexAmount)</f>
        <v>0</v>
      </c>
      <c r="AQ9" s="265" cm="1">
        <f t="array" ref="AQ9">SUMPRODUCT(($C9=CapexCategory)*(AQ$4=CapexMonth)*CapexAmount)</f>
        <v>0</v>
      </c>
      <c r="AR9" s="265" cm="1">
        <f t="array" ref="AR9">SUMPRODUCT(($C9=CapexCategory)*(AR$4=CapexMonth)*CapexAmount)</f>
        <v>0</v>
      </c>
      <c r="AS9" s="265" cm="1">
        <f t="array" ref="AS9">SUMPRODUCT(($C9=CapexCategory)*(AS$4=CapexMonth)*CapexAmount)</f>
        <v>0</v>
      </c>
      <c r="AT9" s="263" cm="1">
        <f t="array" ref="AT9">SUMPRODUCT(($C9=CapexCategory)*(AT$4=CapexMonth)*CapexAmount)</f>
        <v>0</v>
      </c>
      <c r="AU9" s="265" cm="1">
        <f t="array" ref="AU9">SUMPRODUCT(($C9=CapexCategory)*(AU$4=CapexMonth)*CapexAmount)</f>
        <v>0</v>
      </c>
      <c r="AV9" s="265" cm="1">
        <f t="array" ref="AV9">SUMPRODUCT(($C9=CapexCategory)*(AV$4=CapexMonth)*CapexAmount)</f>
        <v>0</v>
      </c>
      <c r="AW9" s="265" cm="1">
        <f t="array" ref="AW9">SUMPRODUCT(($C9=CapexCategory)*(AW$4=CapexMonth)*CapexAmount)</f>
        <v>0</v>
      </c>
      <c r="AX9" s="265" cm="1">
        <f t="array" ref="AX9">SUMPRODUCT(($C9=CapexCategory)*(AX$4=CapexMonth)*CapexAmount)</f>
        <v>0</v>
      </c>
      <c r="AY9" s="265" cm="1">
        <f t="array" ref="AY9">SUMPRODUCT(($C9=CapexCategory)*(AY$4=CapexMonth)*CapexAmount)</f>
        <v>0</v>
      </c>
      <c r="AZ9" s="265" cm="1">
        <f t="array" ref="AZ9">SUMPRODUCT(($C9=CapexCategory)*(AZ$4=CapexMonth)*CapexAmount)</f>
        <v>0</v>
      </c>
      <c r="BA9" s="265" cm="1">
        <f t="array" ref="BA9">SUMPRODUCT(($C9=CapexCategory)*(BA$4=CapexMonth)*CapexAmount)</f>
        <v>0</v>
      </c>
      <c r="BB9" s="265" cm="1">
        <f t="array" ref="BB9">SUMPRODUCT(($C9=CapexCategory)*(BB$4=CapexMonth)*CapexAmount)</f>
        <v>0</v>
      </c>
      <c r="BC9" s="265" cm="1">
        <f t="array" ref="BC9">SUMPRODUCT(($C9=CapexCategory)*(BC$4=CapexMonth)*CapexAmount)</f>
        <v>0</v>
      </c>
      <c r="BD9" s="265" cm="1">
        <f t="array" ref="BD9">SUMPRODUCT(($C9=CapexCategory)*(BD$4=CapexMonth)*CapexAmount)</f>
        <v>0</v>
      </c>
      <c r="BE9" s="265" cm="1">
        <f t="array" ref="BE9">SUMPRODUCT(($C9=CapexCategory)*(BE$4=CapexMonth)*CapexAmount)</f>
        <v>0</v>
      </c>
      <c r="BF9" s="263" cm="1">
        <f t="array" ref="BF9">SUMPRODUCT(($C9=CapexCategory)*(BF$4=CapexMonth)*CapexAmount)</f>
        <v>0</v>
      </c>
      <c r="BG9" s="265" cm="1">
        <f t="array" ref="BG9">SUMPRODUCT(($C9=CapexCategory)*(BG$4=CapexMonth)*CapexAmount)</f>
        <v>0</v>
      </c>
      <c r="BH9" s="265" cm="1">
        <f t="array" ref="BH9">SUMPRODUCT(($C9=CapexCategory)*(BH$4=CapexMonth)*CapexAmount)</f>
        <v>0</v>
      </c>
      <c r="BI9" s="265" cm="1">
        <f t="array" ref="BI9">SUMPRODUCT(($C9=CapexCategory)*(BI$4=CapexMonth)*CapexAmount)</f>
        <v>0</v>
      </c>
      <c r="BJ9" s="265" cm="1">
        <f t="array" ref="BJ9">SUMPRODUCT(($C9=CapexCategory)*(BJ$4=CapexMonth)*CapexAmount)</f>
        <v>0</v>
      </c>
      <c r="BK9" s="265" cm="1">
        <f t="array" ref="BK9">SUMPRODUCT(($C9=CapexCategory)*(BK$4=CapexMonth)*CapexAmount)</f>
        <v>0</v>
      </c>
      <c r="BL9" s="265" cm="1">
        <f t="array" ref="BL9">SUMPRODUCT(($C9=CapexCategory)*(BL$4=CapexMonth)*CapexAmount)</f>
        <v>0</v>
      </c>
      <c r="BM9" s="265" cm="1">
        <f t="array" ref="BM9">SUMPRODUCT(($C9=CapexCategory)*(BM$4=CapexMonth)*CapexAmount)</f>
        <v>0</v>
      </c>
      <c r="BN9" s="265" cm="1">
        <f t="array" ref="BN9">SUMPRODUCT(($C9=CapexCategory)*(BN$4=CapexMonth)*CapexAmount)</f>
        <v>0</v>
      </c>
      <c r="BO9" s="265" cm="1">
        <f t="array" ref="BO9">SUMPRODUCT(($C9=CapexCategory)*(BO$4=CapexMonth)*CapexAmount)</f>
        <v>0</v>
      </c>
      <c r="BP9" s="265" cm="1">
        <f t="array" ref="BP9">SUMPRODUCT(($C9=CapexCategory)*(BP$4=CapexMonth)*CapexAmount)</f>
        <v>0</v>
      </c>
      <c r="BQ9" s="265" cm="1">
        <f t="array" ref="BQ9">SUMPRODUCT(($C9=CapexCategory)*(BQ$4=CapexMonth)*CapexAmount)</f>
        <v>0</v>
      </c>
      <c r="BR9" s="263" cm="1">
        <f t="array" ref="BR9">SUMPRODUCT(($C9=CapexCategory)*(BR$4=CapexMonth)*CapexAmount)</f>
        <v>0</v>
      </c>
    </row>
    <row r="10" spans="1:70" ht="13.2" x14ac:dyDescent="0.3">
      <c r="C10" s="185" t="s">
        <v>223</v>
      </c>
      <c r="D10" s="14"/>
      <c r="E10" s="263">
        <f t="shared" si="0"/>
        <v>50</v>
      </c>
      <c r="F10" s="263">
        <f t="shared" si="1"/>
        <v>0</v>
      </c>
      <c r="G10" s="263">
        <f t="shared" si="2"/>
        <v>0</v>
      </c>
      <c r="H10" s="263">
        <f t="shared" si="3"/>
        <v>0</v>
      </c>
      <c r="I10" s="263">
        <f t="shared" si="4"/>
        <v>0</v>
      </c>
      <c r="J10" s="264"/>
      <c r="K10" s="265" cm="1">
        <f t="array" ref="K10">SUMPRODUCT(($C10=CapexCategory)*(K$4=CapexMonth)*CapexAmount)</f>
        <v>0</v>
      </c>
      <c r="L10" s="265" cm="1">
        <f t="array" ref="L10">SUMPRODUCT(($C10=CapexCategory)*(L$4=CapexMonth)*CapexAmount)</f>
        <v>0</v>
      </c>
      <c r="M10" s="265" cm="1">
        <f t="array" ref="M10">SUMPRODUCT(($C10=CapexCategory)*(M$4=CapexMonth)*CapexAmount)</f>
        <v>50</v>
      </c>
      <c r="N10" s="265" cm="1">
        <f t="array" ref="N10">SUMPRODUCT(($C10=CapexCategory)*(N$4=CapexMonth)*CapexAmount)</f>
        <v>0</v>
      </c>
      <c r="O10" s="265" cm="1">
        <f t="array" ref="O10">SUMPRODUCT(($C10=CapexCategory)*(O$4=CapexMonth)*CapexAmount)</f>
        <v>0</v>
      </c>
      <c r="P10" s="265" cm="1">
        <f t="array" ref="P10">SUMPRODUCT(($C10=CapexCategory)*(P$4=CapexMonth)*CapexAmount)</f>
        <v>0</v>
      </c>
      <c r="Q10" s="265" cm="1">
        <f t="array" ref="Q10">SUMPRODUCT(($C10=CapexCategory)*(Q$4=CapexMonth)*CapexAmount)</f>
        <v>0</v>
      </c>
      <c r="R10" s="265" cm="1">
        <f t="array" ref="R10">SUMPRODUCT(($C10=CapexCategory)*(R$4=CapexMonth)*CapexAmount)</f>
        <v>0</v>
      </c>
      <c r="S10" s="265" cm="1">
        <f t="array" ref="S10">SUMPRODUCT(($C10=CapexCategory)*(S$4=CapexMonth)*CapexAmount)</f>
        <v>0</v>
      </c>
      <c r="T10" s="265" cm="1">
        <f t="array" ref="T10">SUMPRODUCT(($C10=CapexCategory)*(T$4=CapexMonth)*CapexAmount)</f>
        <v>0</v>
      </c>
      <c r="U10" s="265" cm="1">
        <f t="array" ref="U10">SUMPRODUCT(($C10=CapexCategory)*(U$4=CapexMonth)*CapexAmount)</f>
        <v>0</v>
      </c>
      <c r="V10" s="263" cm="1">
        <f t="array" ref="V10">SUMPRODUCT(($C10=CapexCategory)*(V$4=CapexMonth)*CapexAmount)</f>
        <v>0</v>
      </c>
      <c r="W10" s="265" cm="1">
        <f t="array" ref="W10">SUMPRODUCT(($C10=CapexCategory)*(W$4=CapexMonth)*CapexAmount)</f>
        <v>0</v>
      </c>
      <c r="X10" s="265" cm="1">
        <f t="array" ref="X10">SUMPRODUCT(($C10=CapexCategory)*(X$4=CapexMonth)*CapexAmount)</f>
        <v>0</v>
      </c>
      <c r="Y10" s="265" cm="1">
        <f t="array" ref="Y10">SUMPRODUCT(($C10=CapexCategory)*(Y$4=CapexMonth)*CapexAmount)</f>
        <v>0</v>
      </c>
      <c r="Z10" s="265" cm="1">
        <f t="array" ref="Z10">SUMPRODUCT(($C10=CapexCategory)*(Z$4=CapexMonth)*CapexAmount)</f>
        <v>0</v>
      </c>
      <c r="AA10" s="265" cm="1">
        <f t="array" ref="AA10">SUMPRODUCT(($C10=CapexCategory)*(AA$4=CapexMonth)*CapexAmount)</f>
        <v>0</v>
      </c>
      <c r="AB10" s="265" cm="1">
        <f t="array" ref="AB10">SUMPRODUCT(($C10=CapexCategory)*(AB$4=CapexMonth)*CapexAmount)</f>
        <v>0</v>
      </c>
      <c r="AC10" s="265" cm="1">
        <f t="array" ref="AC10">SUMPRODUCT(($C10=CapexCategory)*(AC$4=CapexMonth)*CapexAmount)</f>
        <v>0</v>
      </c>
      <c r="AD10" s="265" cm="1">
        <f t="array" ref="AD10">SUMPRODUCT(($C10=CapexCategory)*(AD$4=CapexMonth)*CapexAmount)</f>
        <v>0</v>
      </c>
      <c r="AE10" s="265" cm="1">
        <f t="array" ref="AE10">SUMPRODUCT(($C10=CapexCategory)*(AE$4=CapexMonth)*CapexAmount)</f>
        <v>0</v>
      </c>
      <c r="AF10" s="265" cm="1">
        <f t="array" ref="AF10">SUMPRODUCT(($C10=CapexCategory)*(AF$4=CapexMonth)*CapexAmount)</f>
        <v>0</v>
      </c>
      <c r="AG10" s="265" cm="1">
        <f t="array" ref="AG10">SUMPRODUCT(($C10=CapexCategory)*(AG$4=CapexMonth)*CapexAmount)</f>
        <v>0</v>
      </c>
      <c r="AH10" s="263" cm="1">
        <f t="array" ref="AH10">SUMPRODUCT(($C10=CapexCategory)*(AH$4=CapexMonth)*CapexAmount)</f>
        <v>0</v>
      </c>
      <c r="AI10" s="265" cm="1">
        <f t="array" ref="AI10">SUMPRODUCT(($C10=CapexCategory)*(AI$4=CapexMonth)*CapexAmount)</f>
        <v>0</v>
      </c>
      <c r="AJ10" s="265" cm="1">
        <f t="array" ref="AJ10">SUMPRODUCT(($C10=CapexCategory)*(AJ$4=CapexMonth)*CapexAmount)</f>
        <v>0</v>
      </c>
      <c r="AK10" s="265" cm="1">
        <f t="array" ref="AK10">SUMPRODUCT(($C10=CapexCategory)*(AK$4=CapexMonth)*CapexAmount)</f>
        <v>0</v>
      </c>
      <c r="AL10" s="265" cm="1">
        <f t="array" ref="AL10">SUMPRODUCT(($C10=CapexCategory)*(AL$4=CapexMonth)*CapexAmount)</f>
        <v>0</v>
      </c>
      <c r="AM10" s="265" cm="1">
        <f t="array" ref="AM10">SUMPRODUCT(($C10=CapexCategory)*(AM$4=CapexMonth)*CapexAmount)</f>
        <v>0</v>
      </c>
      <c r="AN10" s="265" cm="1">
        <f t="array" ref="AN10">SUMPRODUCT(($C10=CapexCategory)*(AN$4=CapexMonth)*CapexAmount)</f>
        <v>0</v>
      </c>
      <c r="AO10" s="265" cm="1">
        <f t="array" ref="AO10">SUMPRODUCT(($C10=CapexCategory)*(AO$4=CapexMonth)*CapexAmount)</f>
        <v>0</v>
      </c>
      <c r="AP10" s="265" cm="1">
        <f t="array" ref="AP10">SUMPRODUCT(($C10=CapexCategory)*(AP$4=CapexMonth)*CapexAmount)</f>
        <v>0</v>
      </c>
      <c r="AQ10" s="265" cm="1">
        <f t="array" ref="AQ10">SUMPRODUCT(($C10=CapexCategory)*(AQ$4=CapexMonth)*CapexAmount)</f>
        <v>0</v>
      </c>
      <c r="AR10" s="265" cm="1">
        <f t="array" ref="AR10">SUMPRODUCT(($C10=CapexCategory)*(AR$4=CapexMonth)*CapexAmount)</f>
        <v>0</v>
      </c>
      <c r="AS10" s="265" cm="1">
        <f t="array" ref="AS10">SUMPRODUCT(($C10=CapexCategory)*(AS$4=CapexMonth)*CapexAmount)</f>
        <v>0</v>
      </c>
      <c r="AT10" s="263" cm="1">
        <f t="array" ref="AT10">SUMPRODUCT(($C10=CapexCategory)*(AT$4=CapexMonth)*CapexAmount)</f>
        <v>0</v>
      </c>
      <c r="AU10" s="265" cm="1">
        <f t="array" ref="AU10">SUMPRODUCT(($C10=CapexCategory)*(AU$4=CapexMonth)*CapexAmount)</f>
        <v>0</v>
      </c>
      <c r="AV10" s="265" cm="1">
        <f t="array" ref="AV10">SUMPRODUCT(($C10=CapexCategory)*(AV$4=CapexMonth)*CapexAmount)</f>
        <v>0</v>
      </c>
      <c r="AW10" s="265" cm="1">
        <f t="array" ref="AW10">SUMPRODUCT(($C10=CapexCategory)*(AW$4=CapexMonth)*CapexAmount)</f>
        <v>0</v>
      </c>
      <c r="AX10" s="265" cm="1">
        <f t="array" ref="AX10">SUMPRODUCT(($C10=CapexCategory)*(AX$4=CapexMonth)*CapexAmount)</f>
        <v>0</v>
      </c>
      <c r="AY10" s="265" cm="1">
        <f t="array" ref="AY10">SUMPRODUCT(($C10=CapexCategory)*(AY$4=CapexMonth)*CapexAmount)</f>
        <v>0</v>
      </c>
      <c r="AZ10" s="265" cm="1">
        <f t="array" ref="AZ10">SUMPRODUCT(($C10=CapexCategory)*(AZ$4=CapexMonth)*CapexAmount)</f>
        <v>0</v>
      </c>
      <c r="BA10" s="265" cm="1">
        <f t="array" ref="BA10">SUMPRODUCT(($C10=CapexCategory)*(BA$4=CapexMonth)*CapexAmount)</f>
        <v>0</v>
      </c>
      <c r="BB10" s="265" cm="1">
        <f t="array" ref="BB10">SUMPRODUCT(($C10=CapexCategory)*(BB$4=CapexMonth)*CapexAmount)</f>
        <v>0</v>
      </c>
      <c r="BC10" s="265" cm="1">
        <f t="array" ref="BC10">SUMPRODUCT(($C10=CapexCategory)*(BC$4=CapexMonth)*CapexAmount)</f>
        <v>0</v>
      </c>
      <c r="BD10" s="265" cm="1">
        <f t="array" ref="BD10">SUMPRODUCT(($C10=CapexCategory)*(BD$4=CapexMonth)*CapexAmount)</f>
        <v>0</v>
      </c>
      <c r="BE10" s="265" cm="1">
        <f t="array" ref="BE10">SUMPRODUCT(($C10=CapexCategory)*(BE$4=CapexMonth)*CapexAmount)</f>
        <v>0</v>
      </c>
      <c r="BF10" s="263" cm="1">
        <f t="array" ref="BF10">SUMPRODUCT(($C10=CapexCategory)*(BF$4=CapexMonth)*CapexAmount)</f>
        <v>0</v>
      </c>
      <c r="BG10" s="265" cm="1">
        <f t="array" ref="BG10">SUMPRODUCT(($C10=CapexCategory)*(BG$4=CapexMonth)*CapexAmount)</f>
        <v>0</v>
      </c>
      <c r="BH10" s="265" cm="1">
        <f t="array" ref="BH10">SUMPRODUCT(($C10=CapexCategory)*(BH$4=CapexMonth)*CapexAmount)</f>
        <v>0</v>
      </c>
      <c r="BI10" s="265" cm="1">
        <f t="array" ref="BI10">SUMPRODUCT(($C10=CapexCategory)*(BI$4=CapexMonth)*CapexAmount)</f>
        <v>0</v>
      </c>
      <c r="BJ10" s="265" cm="1">
        <f t="array" ref="BJ10">SUMPRODUCT(($C10=CapexCategory)*(BJ$4=CapexMonth)*CapexAmount)</f>
        <v>0</v>
      </c>
      <c r="BK10" s="265" cm="1">
        <f t="array" ref="BK10">SUMPRODUCT(($C10=CapexCategory)*(BK$4=CapexMonth)*CapexAmount)</f>
        <v>0</v>
      </c>
      <c r="BL10" s="265" cm="1">
        <f t="array" ref="BL10">SUMPRODUCT(($C10=CapexCategory)*(BL$4=CapexMonth)*CapexAmount)</f>
        <v>0</v>
      </c>
      <c r="BM10" s="265" cm="1">
        <f t="array" ref="BM10">SUMPRODUCT(($C10=CapexCategory)*(BM$4=CapexMonth)*CapexAmount)</f>
        <v>0</v>
      </c>
      <c r="BN10" s="265" cm="1">
        <f t="array" ref="BN10">SUMPRODUCT(($C10=CapexCategory)*(BN$4=CapexMonth)*CapexAmount)</f>
        <v>0</v>
      </c>
      <c r="BO10" s="265" cm="1">
        <f t="array" ref="BO10">SUMPRODUCT(($C10=CapexCategory)*(BO$4=CapexMonth)*CapexAmount)</f>
        <v>0</v>
      </c>
      <c r="BP10" s="265" cm="1">
        <f t="array" ref="BP10">SUMPRODUCT(($C10=CapexCategory)*(BP$4=CapexMonth)*CapexAmount)</f>
        <v>0</v>
      </c>
      <c r="BQ10" s="265" cm="1">
        <f t="array" ref="BQ10">SUMPRODUCT(($C10=CapexCategory)*(BQ$4=CapexMonth)*CapexAmount)</f>
        <v>0</v>
      </c>
      <c r="BR10" s="263" cm="1">
        <f t="array" ref="BR10">SUMPRODUCT(($C10=CapexCategory)*(BR$4=CapexMonth)*CapexAmount)</f>
        <v>0</v>
      </c>
    </row>
    <row r="11" spans="1:70" ht="13.2" x14ac:dyDescent="0.3">
      <c r="C11" s="246" t="s">
        <v>224</v>
      </c>
      <c r="D11" s="14"/>
      <c r="E11" s="247">
        <f t="shared" si="0"/>
        <v>0</v>
      </c>
      <c r="F11" s="247">
        <f t="shared" si="1"/>
        <v>0</v>
      </c>
      <c r="G11" s="247">
        <f t="shared" si="2"/>
        <v>0</v>
      </c>
      <c r="H11" s="247">
        <f t="shared" si="3"/>
        <v>0</v>
      </c>
      <c r="I11" s="247">
        <f t="shared" si="4"/>
        <v>0</v>
      </c>
      <c r="J11" s="264"/>
      <c r="K11" s="226" cm="1">
        <f t="array" ref="K11">SUMPRODUCT(  ((ISBLANK(CapexCategory) + (CapexCategory="Other"))&gt;0)  *  (K$4=CapexMonth)*CapexAmount)</f>
        <v>0</v>
      </c>
      <c r="L11" s="226" cm="1">
        <f t="array" ref="L11">SUMPRODUCT(  ((ISBLANK(CapexCategory) + (CapexCategory="Other"))&gt;0)  *  (L$4=CapexMonth)*CapexAmount)</f>
        <v>0</v>
      </c>
      <c r="M11" s="226" cm="1">
        <f t="array" ref="M11">SUMPRODUCT(  ((ISBLANK(CapexCategory) + (CapexCategory="Other"))&gt;0)  *  (M$4=CapexMonth)*CapexAmount)</f>
        <v>0</v>
      </c>
      <c r="N11" s="226" cm="1">
        <f t="array" ref="N11">SUMPRODUCT(  ((ISBLANK(CapexCategory) + (CapexCategory="Other"))&gt;0)  *  (N$4=CapexMonth)*CapexAmount)</f>
        <v>0</v>
      </c>
      <c r="O11" s="226" cm="1">
        <f t="array" ref="O11">SUMPRODUCT(  ((ISBLANK(CapexCategory) + (CapexCategory="Other"))&gt;0)  *  (O$4=CapexMonth)*CapexAmount)</f>
        <v>0</v>
      </c>
      <c r="P11" s="226" cm="1">
        <f t="array" ref="P11">SUMPRODUCT(  ((ISBLANK(CapexCategory) + (CapexCategory="Other"))&gt;0)  *  (P$4=CapexMonth)*CapexAmount)</f>
        <v>0</v>
      </c>
      <c r="Q11" s="226" cm="1">
        <f t="array" ref="Q11">SUMPRODUCT(  ((ISBLANK(CapexCategory) + (CapexCategory="Other"))&gt;0)  *  (Q$4=CapexMonth)*CapexAmount)</f>
        <v>0</v>
      </c>
      <c r="R11" s="226" cm="1">
        <f t="array" ref="R11">SUMPRODUCT(  ((ISBLANK(CapexCategory) + (CapexCategory="Other"))&gt;0)  *  (R$4=CapexMonth)*CapexAmount)</f>
        <v>0</v>
      </c>
      <c r="S11" s="226" cm="1">
        <f t="array" ref="S11">SUMPRODUCT(  ((ISBLANK(CapexCategory) + (CapexCategory="Other"))&gt;0)  *  (S$4=CapexMonth)*CapexAmount)</f>
        <v>0</v>
      </c>
      <c r="T11" s="226" cm="1">
        <f t="array" ref="T11">SUMPRODUCT(  ((ISBLANK(CapexCategory) + (CapexCategory="Other"))&gt;0)  *  (T$4=CapexMonth)*CapexAmount)</f>
        <v>0</v>
      </c>
      <c r="U11" s="226" cm="1">
        <f t="array" ref="U11">SUMPRODUCT(  ((ISBLANK(CapexCategory) + (CapexCategory="Other"))&gt;0)  *  (U$4=CapexMonth)*CapexAmount)</f>
        <v>0</v>
      </c>
      <c r="V11" s="247" cm="1">
        <f t="array" ref="V11">SUMPRODUCT(  ((ISBLANK(CapexCategory) + (CapexCategory="Other"))&gt;0)  *  (V$4=CapexMonth)*CapexAmount)</f>
        <v>0</v>
      </c>
      <c r="W11" s="226" cm="1">
        <f t="array" ref="W11">SUMPRODUCT(  ((ISBLANK(CapexCategory) + (CapexCategory="Other"))&gt;0)  *  (W$4=CapexMonth)*CapexAmount)</f>
        <v>0</v>
      </c>
      <c r="X11" s="226" cm="1">
        <f t="array" ref="X11">SUMPRODUCT(  ((ISBLANK(CapexCategory) + (CapexCategory="Other"))&gt;0)  *  (X$4=CapexMonth)*CapexAmount)</f>
        <v>0</v>
      </c>
      <c r="Y11" s="226" cm="1">
        <f t="array" ref="Y11">SUMPRODUCT(  ((ISBLANK(CapexCategory) + (CapexCategory="Other"))&gt;0)  *  (Y$4=CapexMonth)*CapexAmount)</f>
        <v>0</v>
      </c>
      <c r="Z11" s="226" cm="1">
        <f t="array" ref="Z11">SUMPRODUCT(  ((ISBLANK(CapexCategory) + (CapexCategory="Other"))&gt;0)  *  (Z$4=CapexMonth)*CapexAmount)</f>
        <v>0</v>
      </c>
      <c r="AA11" s="226" cm="1">
        <f t="array" ref="AA11">SUMPRODUCT(  ((ISBLANK(CapexCategory) + (CapexCategory="Other"))&gt;0)  *  (AA$4=CapexMonth)*CapexAmount)</f>
        <v>0</v>
      </c>
      <c r="AB11" s="226" cm="1">
        <f t="array" ref="AB11">SUMPRODUCT(  ((ISBLANK(CapexCategory) + (CapexCategory="Other"))&gt;0)  *  (AB$4=CapexMonth)*CapexAmount)</f>
        <v>0</v>
      </c>
      <c r="AC11" s="226" cm="1">
        <f t="array" ref="AC11">SUMPRODUCT(  ((ISBLANK(CapexCategory) + (CapexCategory="Other"))&gt;0)  *  (AC$4=CapexMonth)*CapexAmount)</f>
        <v>0</v>
      </c>
      <c r="AD11" s="226" cm="1">
        <f t="array" ref="AD11">SUMPRODUCT(  ((ISBLANK(CapexCategory) + (CapexCategory="Other"))&gt;0)  *  (AD$4=CapexMonth)*CapexAmount)</f>
        <v>0</v>
      </c>
      <c r="AE11" s="226" cm="1">
        <f t="array" ref="AE11">SUMPRODUCT(  ((ISBLANK(CapexCategory) + (CapexCategory="Other"))&gt;0)  *  (AE$4=CapexMonth)*CapexAmount)</f>
        <v>0</v>
      </c>
      <c r="AF11" s="226" cm="1">
        <f t="array" ref="AF11">SUMPRODUCT(  ((ISBLANK(CapexCategory) + (CapexCategory="Other"))&gt;0)  *  (AF$4=CapexMonth)*CapexAmount)</f>
        <v>0</v>
      </c>
      <c r="AG11" s="226" cm="1">
        <f t="array" ref="AG11">SUMPRODUCT(  ((ISBLANK(CapexCategory) + (CapexCategory="Other"))&gt;0)  *  (AG$4=CapexMonth)*CapexAmount)</f>
        <v>0</v>
      </c>
      <c r="AH11" s="247" cm="1">
        <f t="array" ref="AH11">SUMPRODUCT(  ((ISBLANK(CapexCategory) + (CapexCategory="Other"))&gt;0)  *  (AH$4=CapexMonth)*CapexAmount)</f>
        <v>0</v>
      </c>
      <c r="AI11" s="226" cm="1">
        <f t="array" ref="AI11">SUMPRODUCT(  ((ISBLANK(CapexCategory) + (CapexCategory="Other"))&gt;0)  *  (AI$4=CapexMonth)*CapexAmount)</f>
        <v>0</v>
      </c>
      <c r="AJ11" s="226" cm="1">
        <f t="array" ref="AJ11">SUMPRODUCT(  ((ISBLANK(CapexCategory) + (CapexCategory="Other"))&gt;0)  *  (AJ$4=CapexMonth)*CapexAmount)</f>
        <v>0</v>
      </c>
      <c r="AK11" s="226" cm="1">
        <f t="array" ref="AK11">SUMPRODUCT(  ((ISBLANK(CapexCategory) + (CapexCategory="Other"))&gt;0)  *  (AK$4=CapexMonth)*CapexAmount)</f>
        <v>0</v>
      </c>
      <c r="AL11" s="226" cm="1">
        <f t="array" ref="AL11">SUMPRODUCT(  ((ISBLANK(CapexCategory) + (CapexCategory="Other"))&gt;0)  *  (AL$4=CapexMonth)*CapexAmount)</f>
        <v>0</v>
      </c>
      <c r="AM11" s="226" cm="1">
        <f t="array" ref="AM11">SUMPRODUCT(  ((ISBLANK(CapexCategory) + (CapexCategory="Other"))&gt;0)  *  (AM$4=CapexMonth)*CapexAmount)</f>
        <v>0</v>
      </c>
      <c r="AN11" s="226" cm="1">
        <f t="array" ref="AN11">SUMPRODUCT(  ((ISBLANK(CapexCategory) + (CapexCategory="Other"))&gt;0)  *  (AN$4=CapexMonth)*CapexAmount)</f>
        <v>0</v>
      </c>
      <c r="AO11" s="226" cm="1">
        <f t="array" ref="AO11">SUMPRODUCT(  ((ISBLANK(CapexCategory) + (CapexCategory="Other"))&gt;0)  *  (AO$4=CapexMonth)*CapexAmount)</f>
        <v>0</v>
      </c>
      <c r="AP11" s="226" cm="1">
        <f t="array" ref="AP11">SUMPRODUCT(  ((ISBLANK(CapexCategory) + (CapexCategory="Other"))&gt;0)  *  (AP$4=CapexMonth)*CapexAmount)</f>
        <v>0</v>
      </c>
      <c r="AQ11" s="226" cm="1">
        <f t="array" ref="AQ11">SUMPRODUCT(  ((ISBLANK(CapexCategory) + (CapexCategory="Other"))&gt;0)  *  (AQ$4=CapexMonth)*CapexAmount)</f>
        <v>0</v>
      </c>
      <c r="AR11" s="226" cm="1">
        <f t="array" ref="AR11">SUMPRODUCT(  ((ISBLANK(CapexCategory) + (CapexCategory="Other"))&gt;0)  *  (AR$4=CapexMonth)*CapexAmount)</f>
        <v>0</v>
      </c>
      <c r="AS11" s="226" cm="1">
        <f t="array" ref="AS11">SUMPRODUCT(  ((ISBLANK(CapexCategory) + (CapexCategory="Other"))&gt;0)  *  (AS$4=CapexMonth)*CapexAmount)</f>
        <v>0</v>
      </c>
      <c r="AT11" s="247" cm="1">
        <f t="array" ref="AT11">SUMPRODUCT(  ((ISBLANK(CapexCategory) + (CapexCategory="Other"))&gt;0)  *  (AT$4=CapexMonth)*CapexAmount)</f>
        <v>0</v>
      </c>
      <c r="AU11" s="226" cm="1">
        <f t="array" ref="AU11">SUMPRODUCT(  ((ISBLANK(CapexCategory) + (CapexCategory="Other"))&gt;0)  *  (AU$4=CapexMonth)*CapexAmount)</f>
        <v>0</v>
      </c>
      <c r="AV11" s="226" cm="1">
        <f t="array" ref="AV11">SUMPRODUCT(  ((ISBLANK(CapexCategory) + (CapexCategory="Other"))&gt;0)  *  (AV$4=CapexMonth)*CapexAmount)</f>
        <v>0</v>
      </c>
      <c r="AW11" s="226" cm="1">
        <f t="array" ref="AW11">SUMPRODUCT(  ((ISBLANK(CapexCategory) + (CapexCategory="Other"))&gt;0)  *  (AW$4=CapexMonth)*CapexAmount)</f>
        <v>0</v>
      </c>
      <c r="AX11" s="226" cm="1">
        <f t="array" ref="AX11">SUMPRODUCT(  ((ISBLANK(CapexCategory) + (CapexCategory="Other"))&gt;0)  *  (AX$4=CapexMonth)*CapexAmount)</f>
        <v>0</v>
      </c>
      <c r="AY11" s="226" cm="1">
        <f t="array" ref="AY11">SUMPRODUCT(  ((ISBLANK(CapexCategory) + (CapexCategory="Other"))&gt;0)  *  (AY$4=CapexMonth)*CapexAmount)</f>
        <v>0</v>
      </c>
      <c r="AZ11" s="226" cm="1">
        <f t="array" ref="AZ11">SUMPRODUCT(  ((ISBLANK(CapexCategory) + (CapexCategory="Other"))&gt;0)  *  (AZ$4=CapexMonth)*CapexAmount)</f>
        <v>0</v>
      </c>
      <c r="BA11" s="226" cm="1">
        <f t="array" ref="BA11">SUMPRODUCT(  ((ISBLANK(CapexCategory) + (CapexCategory="Other"))&gt;0)  *  (BA$4=CapexMonth)*CapexAmount)</f>
        <v>0</v>
      </c>
      <c r="BB11" s="226" cm="1">
        <f t="array" ref="BB11">SUMPRODUCT(  ((ISBLANK(CapexCategory) + (CapexCategory="Other"))&gt;0)  *  (BB$4=CapexMonth)*CapexAmount)</f>
        <v>0</v>
      </c>
      <c r="BC11" s="226" cm="1">
        <f t="array" ref="BC11">SUMPRODUCT(  ((ISBLANK(CapexCategory) + (CapexCategory="Other"))&gt;0)  *  (BC$4=CapexMonth)*CapexAmount)</f>
        <v>0</v>
      </c>
      <c r="BD11" s="226" cm="1">
        <f t="array" ref="BD11">SUMPRODUCT(  ((ISBLANK(CapexCategory) + (CapexCategory="Other"))&gt;0)  *  (BD$4=CapexMonth)*CapexAmount)</f>
        <v>0</v>
      </c>
      <c r="BE11" s="226" cm="1">
        <f t="array" ref="BE11">SUMPRODUCT(  ((ISBLANK(CapexCategory) + (CapexCategory="Other"))&gt;0)  *  (BE$4=CapexMonth)*CapexAmount)</f>
        <v>0</v>
      </c>
      <c r="BF11" s="247" cm="1">
        <f t="array" ref="BF11">SUMPRODUCT(  ((ISBLANK(CapexCategory) + (CapexCategory="Other"))&gt;0)  *  (BF$4=CapexMonth)*CapexAmount)</f>
        <v>0</v>
      </c>
      <c r="BG11" s="226" cm="1">
        <f t="array" ref="BG11">SUMPRODUCT(  ((ISBLANK(CapexCategory) + (CapexCategory="Other"))&gt;0)  *  (BG$4=CapexMonth)*CapexAmount)</f>
        <v>0</v>
      </c>
      <c r="BH11" s="226" cm="1">
        <f t="array" ref="BH11">SUMPRODUCT(  ((ISBLANK(CapexCategory) + (CapexCategory="Other"))&gt;0)  *  (BH$4=CapexMonth)*CapexAmount)</f>
        <v>0</v>
      </c>
      <c r="BI11" s="226" cm="1">
        <f t="array" ref="BI11">SUMPRODUCT(  ((ISBLANK(CapexCategory) + (CapexCategory="Other"))&gt;0)  *  (BI$4=CapexMonth)*CapexAmount)</f>
        <v>0</v>
      </c>
      <c r="BJ11" s="226" cm="1">
        <f t="array" ref="BJ11">SUMPRODUCT(  ((ISBLANK(CapexCategory) + (CapexCategory="Other"))&gt;0)  *  (BJ$4=CapexMonth)*CapexAmount)</f>
        <v>0</v>
      </c>
      <c r="BK11" s="226" cm="1">
        <f t="array" ref="BK11">SUMPRODUCT(  ((ISBLANK(CapexCategory) + (CapexCategory="Other"))&gt;0)  *  (BK$4=CapexMonth)*CapexAmount)</f>
        <v>0</v>
      </c>
      <c r="BL11" s="226" cm="1">
        <f t="array" ref="BL11">SUMPRODUCT(  ((ISBLANK(CapexCategory) + (CapexCategory="Other"))&gt;0)  *  (BL$4=CapexMonth)*CapexAmount)</f>
        <v>0</v>
      </c>
      <c r="BM11" s="226" cm="1">
        <f t="array" ref="BM11">SUMPRODUCT(  ((ISBLANK(CapexCategory) + (CapexCategory="Other"))&gt;0)  *  (BM$4=CapexMonth)*CapexAmount)</f>
        <v>0</v>
      </c>
      <c r="BN11" s="226" cm="1">
        <f t="array" ref="BN11">SUMPRODUCT(  ((ISBLANK(CapexCategory) + (CapexCategory="Other"))&gt;0)  *  (BN$4=CapexMonth)*CapexAmount)</f>
        <v>0</v>
      </c>
      <c r="BO11" s="226" cm="1">
        <f t="array" ref="BO11">SUMPRODUCT(  ((ISBLANK(CapexCategory) + (CapexCategory="Other"))&gt;0)  *  (BO$4=CapexMonth)*CapexAmount)</f>
        <v>0</v>
      </c>
      <c r="BP11" s="226" cm="1">
        <f t="array" ref="BP11">SUMPRODUCT(  ((ISBLANK(CapexCategory) + (CapexCategory="Other"))&gt;0)  *  (BP$4=CapexMonth)*CapexAmount)</f>
        <v>0</v>
      </c>
      <c r="BQ11" s="226" cm="1">
        <f t="array" ref="BQ11">SUMPRODUCT(  ((ISBLANK(CapexCategory) + (CapexCategory="Other"))&gt;0)  *  (BQ$4=CapexMonth)*CapexAmount)</f>
        <v>0</v>
      </c>
      <c r="BR11" s="247" cm="1">
        <f t="array" ref="BR11">SUMPRODUCT(  ((ISBLANK(CapexCategory) + (CapexCategory="Other"))&gt;0)  *  (BR$4=CapexMonth)*CapexAmount)</f>
        <v>0</v>
      </c>
    </row>
    <row r="12" spans="1:70" s="175" customFormat="1" ht="13.2" x14ac:dyDescent="0.3">
      <c r="A12" s="40"/>
      <c r="B12" s="13"/>
      <c r="C12" s="175" t="s">
        <v>14</v>
      </c>
      <c r="D12" s="199"/>
      <c r="E12" s="222">
        <f t="shared" si="0"/>
        <v>190</v>
      </c>
      <c r="F12" s="222">
        <f t="shared" si="1"/>
        <v>0</v>
      </c>
      <c r="G12" s="222">
        <f t="shared" si="2"/>
        <v>0</v>
      </c>
      <c r="H12" s="222">
        <f t="shared" si="3"/>
        <v>0</v>
      </c>
      <c r="I12" s="222">
        <f t="shared" si="4"/>
        <v>0</v>
      </c>
      <c r="J12" s="264"/>
      <c r="K12" s="223">
        <f t="shared" ref="K12:BR12" si="5">SUM(K6:K11)</f>
        <v>40</v>
      </c>
      <c r="L12" s="223">
        <f t="shared" si="5"/>
        <v>0</v>
      </c>
      <c r="M12" s="223">
        <f t="shared" si="5"/>
        <v>50</v>
      </c>
      <c r="N12" s="223">
        <f t="shared" si="5"/>
        <v>0</v>
      </c>
      <c r="O12" s="223">
        <f t="shared" si="5"/>
        <v>0</v>
      </c>
      <c r="P12" s="223">
        <f t="shared" si="5"/>
        <v>100</v>
      </c>
      <c r="Q12" s="223">
        <f t="shared" si="5"/>
        <v>0</v>
      </c>
      <c r="R12" s="223">
        <f t="shared" si="5"/>
        <v>0</v>
      </c>
      <c r="S12" s="223">
        <f t="shared" si="5"/>
        <v>0</v>
      </c>
      <c r="T12" s="223">
        <f t="shared" si="5"/>
        <v>0</v>
      </c>
      <c r="U12" s="223">
        <f t="shared" si="5"/>
        <v>0</v>
      </c>
      <c r="V12" s="222">
        <f t="shared" si="5"/>
        <v>0</v>
      </c>
      <c r="W12" s="223">
        <f t="shared" si="5"/>
        <v>0</v>
      </c>
      <c r="X12" s="223">
        <f t="shared" si="5"/>
        <v>0</v>
      </c>
      <c r="Y12" s="223">
        <f t="shared" si="5"/>
        <v>0</v>
      </c>
      <c r="Z12" s="223">
        <f t="shared" si="5"/>
        <v>0</v>
      </c>
      <c r="AA12" s="223">
        <f t="shared" si="5"/>
        <v>0</v>
      </c>
      <c r="AB12" s="223">
        <f t="shared" si="5"/>
        <v>0</v>
      </c>
      <c r="AC12" s="223">
        <f t="shared" si="5"/>
        <v>0</v>
      </c>
      <c r="AD12" s="223">
        <f t="shared" si="5"/>
        <v>0</v>
      </c>
      <c r="AE12" s="223">
        <f t="shared" si="5"/>
        <v>0</v>
      </c>
      <c r="AF12" s="223">
        <f t="shared" si="5"/>
        <v>0</v>
      </c>
      <c r="AG12" s="223">
        <f t="shared" si="5"/>
        <v>0</v>
      </c>
      <c r="AH12" s="222">
        <f t="shared" si="5"/>
        <v>0</v>
      </c>
      <c r="AI12" s="223">
        <f t="shared" si="5"/>
        <v>0</v>
      </c>
      <c r="AJ12" s="223">
        <f t="shared" si="5"/>
        <v>0</v>
      </c>
      <c r="AK12" s="223">
        <f t="shared" si="5"/>
        <v>0</v>
      </c>
      <c r="AL12" s="223">
        <f t="shared" si="5"/>
        <v>0</v>
      </c>
      <c r="AM12" s="223">
        <f t="shared" si="5"/>
        <v>0</v>
      </c>
      <c r="AN12" s="223">
        <f t="shared" si="5"/>
        <v>0</v>
      </c>
      <c r="AO12" s="223">
        <f t="shared" si="5"/>
        <v>0</v>
      </c>
      <c r="AP12" s="223">
        <f t="shared" si="5"/>
        <v>0</v>
      </c>
      <c r="AQ12" s="223">
        <f t="shared" si="5"/>
        <v>0</v>
      </c>
      <c r="AR12" s="223">
        <f t="shared" si="5"/>
        <v>0</v>
      </c>
      <c r="AS12" s="223">
        <f t="shared" si="5"/>
        <v>0</v>
      </c>
      <c r="AT12" s="222">
        <f t="shared" si="5"/>
        <v>0</v>
      </c>
      <c r="AU12" s="223">
        <f t="shared" si="5"/>
        <v>0</v>
      </c>
      <c r="AV12" s="223">
        <f t="shared" si="5"/>
        <v>0</v>
      </c>
      <c r="AW12" s="223">
        <f t="shared" si="5"/>
        <v>0</v>
      </c>
      <c r="AX12" s="223">
        <f t="shared" si="5"/>
        <v>0</v>
      </c>
      <c r="AY12" s="223">
        <f t="shared" si="5"/>
        <v>0</v>
      </c>
      <c r="AZ12" s="223">
        <f t="shared" si="5"/>
        <v>0</v>
      </c>
      <c r="BA12" s="223">
        <f t="shared" si="5"/>
        <v>0</v>
      </c>
      <c r="BB12" s="223">
        <f t="shared" si="5"/>
        <v>0</v>
      </c>
      <c r="BC12" s="223">
        <f t="shared" si="5"/>
        <v>0</v>
      </c>
      <c r="BD12" s="223">
        <f t="shared" si="5"/>
        <v>0</v>
      </c>
      <c r="BE12" s="223">
        <f t="shared" si="5"/>
        <v>0</v>
      </c>
      <c r="BF12" s="222">
        <f t="shared" si="5"/>
        <v>0</v>
      </c>
      <c r="BG12" s="223">
        <f t="shared" si="5"/>
        <v>0</v>
      </c>
      <c r="BH12" s="223">
        <f t="shared" si="5"/>
        <v>0</v>
      </c>
      <c r="BI12" s="223">
        <f t="shared" si="5"/>
        <v>0</v>
      </c>
      <c r="BJ12" s="223">
        <f t="shared" si="5"/>
        <v>0</v>
      </c>
      <c r="BK12" s="223">
        <f t="shared" si="5"/>
        <v>0</v>
      </c>
      <c r="BL12" s="223">
        <f t="shared" si="5"/>
        <v>0</v>
      </c>
      <c r="BM12" s="223">
        <f t="shared" si="5"/>
        <v>0</v>
      </c>
      <c r="BN12" s="223">
        <f t="shared" si="5"/>
        <v>0</v>
      </c>
      <c r="BO12" s="223">
        <f t="shared" si="5"/>
        <v>0</v>
      </c>
      <c r="BP12" s="223">
        <f t="shared" si="5"/>
        <v>0</v>
      </c>
      <c r="BQ12" s="223">
        <f t="shared" si="5"/>
        <v>0</v>
      </c>
      <c r="BR12" s="222">
        <f t="shared" si="5"/>
        <v>0</v>
      </c>
    </row>
    <row r="13" spans="1:70" ht="6" customHeight="1" x14ac:dyDescent="0.3">
      <c r="E13" s="248"/>
      <c r="F13" s="248"/>
      <c r="G13" s="248"/>
      <c r="H13" s="248"/>
      <c r="I13" s="248"/>
      <c r="J13" s="264"/>
      <c r="K13" s="248"/>
      <c r="L13" s="248"/>
      <c r="M13" s="248"/>
      <c r="N13" s="248"/>
      <c r="O13" s="248"/>
      <c r="P13" s="248"/>
      <c r="Q13" s="248"/>
      <c r="R13" s="248"/>
      <c r="S13" s="248"/>
      <c r="T13" s="248"/>
      <c r="U13" s="248"/>
      <c r="V13" s="248"/>
      <c r="W13" s="248"/>
      <c r="X13" s="248"/>
      <c r="Y13" s="248"/>
      <c r="Z13" s="248"/>
      <c r="AA13" s="248"/>
      <c r="AB13" s="248"/>
      <c r="AC13" s="248"/>
      <c r="AD13" s="248"/>
      <c r="AE13" s="248"/>
      <c r="AF13" s="248"/>
      <c r="AG13" s="248"/>
      <c r="AH13" s="248"/>
      <c r="AI13" s="248"/>
      <c r="AJ13" s="248"/>
      <c r="AK13" s="248"/>
      <c r="AL13" s="248"/>
      <c r="AM13" s="248"/>
      <c r="AN13" s="248"/>
      <c r="AO13" s="248"/>
      <c r="AP13" s="248"/>
      <c r="AQ13" s="248"/>
      <c r="AR13" s="248"/>
      <c r="AS13" s="248"/>
      <c r="AT13" s="248"/>
      <c r="AU13" s="248"/>
      <c r="AV13" s="248"/>
      <c r="AW13" s="248"/>
      <c r="AX13" s="248"/>
      <c r="AY13" s="248"/>
      <c r="AZ13" s="248"/>
      <c r="BA13" s="248"/>
      <c r="BB13" s="248"/>
      <c r="BC13" s="248"/>
      <c r="BD13" s="248"/>
      <c r="BE13" s="248"/>
      <c r="BF13" s="248"/>
      <c r="BG13" s="248"/>
      <c r="BH13" s="248"/>
      <c r="BI13" s="248"/>
      <c r="BJ13" s="248"/>
      <c r="BK13" s="248"/>
      <c r="BL13" s="248"/>
      <c r="BM13" s="248"/>
      <c r="BN13" s="248"/>
      <c r="BO13" s="248"/>
      <c r="BP13" s="248"/>
      <c r="BQ13" s="248"/>
      <c r="BR13" s="248"/>
    </row>
    <row r="14" spans="1:70" ht="13.2" x14ac:dyDescent="0.3">
      <c r="C14" s="185" t="s">
        <v>219</v>
      </c>
      <c r="D14" s="14"/>
      <c r="E14" s="263">
        <f>SUM(K14:V14)</f>
        <v>0</v>
      </c>
      <c r="F14" s="263">
        <f t="shared" ref="F14:F17" si="6">SUM(W14:AH14)</f>
        <v>0</v>
      </c>
      <c r="G14" s="263">
        <f t="shared" ref="G14:G17" si="7">SUM(AI14:AT14)</f>
        <v>0</v>
      </c>
      <c r="H14" s="263">
        <f t="shared" ref="H14:H17" si="8">SUM(AU14:BF14)</f>
        <v>0</v>
      </c>
      <c r="I14" s="263">
        <f t="shared" ref="I14:I17" si="9">SUM(BG14:BR14)</f>
        <v>0</v>
      </c>
      <c r="J14" s="264"/>
      <c r="K14" s="265" cm="1">
        <f t="array" ref="K14">SUMPRODUCT(( $C14=CapexCategory)*(K$4&gt;=CapexMonth)*(K$4&lt;=SalOff)*DepExp)</f>
        <v>0</v>
      </c>
      <c r="L14" s="265" cm="1">
        <f t="array" ref="L14">SUMPRODUCT(( $C14=CapexCategory)*(L$4&gt;=CapexMonth)*(L$4&lt;=SalOff)*DepExp)</f>
        <v>0</v>
      </c>
      <c r="M14" s="265" cm="1">
        <f t="array" ref="M14">SUMPRODUCT(( $C14=CapexCategory)*(M$4&gt;=CapexMonth)*(M$4&lt;=SalOff)*DepExp)</f>
        <v>0</v>
      </c>
      <c r="N14" s="265" cm="1">
        <f t="array" ref="N14">SUMPRODUCT(( $C14=CapexCategory)*(N$4&gt;=CapexMonth)*(N$4&lt;=SalOff)*DepExp)</f>
        <v>0</v>
      </c>
      <c r="O14" s="265" cm="1">
        <f t="array" ref="O14">SUMPRODUCT(( $C14=CapexCategory)*(O$4&gt;=CapexMonth)*(O$4&lt;=SalOff)*DepExp)</f>
        <v>0</v>
      </c>
      <c r="P14" s="265" cm="1">
        <f t="array" ref="P14">SUMPRODUCT(( $C14=CapexCategory)*(P$4&gt;=CapexMonth)*(P$4&lt;=SalOff)*DepExp)</f>
        <v>0</v>
      </c>
      <c r="Q14" s="265" cm="1">
        <f t="array" ref="Q14">SUMPRODUCT(( $C14=CapexCategory)*(Q$4&gt;=CapexMonth)*(Q$4&lt;=SalOff)*DepExp)</f>
        <v>0</v>
      </c>
      <c r="R14" s="265" cm="1">
        <f t="array" ref="R14">SUMPRODUCT(( $C14=CapexCategory)*(R$4&gt;=CapexMonth)*(R$4&lt;=SalOff)*DepExp)</f>
        <v>0</v>
      </c>
      <c r="S14" s="265" cm="1">
        <f t="array" ref="S14">SUMPRODUCT(( $C14=CapexCategory)*(S$4&gt;=CapexMonth)*(S$4&lt;=SalOff)*DepExp)</f>
        <v>0</v>
      </c>
      <c r="T14" s="265" cm="1">
        <f t="array" ref="T14">SUMPRODUCT(( $C14=CapexCategory)*(T$4&gt;=CapexMonth)*(T$4&lt;=SalOff)*DepExp)</f>
        <v>0</v>
      </c>
      <c r="U14" s="265" cm="1">
        <f t="array" ref="U14">SUMPRODUCT(( $C14=CapexCategory)*(U$4&gt;=CapexMonth)*(U$4&lt;=SalOff)*DepExp)</f>
        <v>0</v>
      </c>
      <c r="V14" s="263" cm="1">
        <f t="array" ref="V14">SUMPRODUCT(( $C14=CapexCategory)*(V$4&gt;=CapexMonth)*(V$4&lt;=SalOff)*DepExp)</f>
        <v>0</v>
      </c>
      <c r="W14" s="265" cm="1">
        <f t="array" ref="W14">SUMPRODUCT(( $C14=CapexCategory)*(W$4&gt;=CapexMonth)*(W$4&lt;=SalOff)*DepExp)</f>
        <v>0</v>
      </c>
      <c r="X14" s="265" cm="1">
        <f t="array" ref="X14">SUMPRODUCT(( $C14=CapexCategory)*(X$4&gt;=CapexMonth)*(X$4&lt;=SalOff)*DepExp)</f>
        <v>0</v>
      </c>
      <c r="Y14" s="265" cm="1">
        <f t="array" ref="Y14">SUMPRODUCT(( $C14=CapexCategory)*(Y$4&gt;=CapexMonth)*(Y$4&lt;=SalOff)*DepExp)</f>
        <v>0</v>
      </c>
      <c r="Z14" s="265" cm="1">
        <f t="array" ref="Z14">SUMPRODUCT(( $C14=CapexCategory)*(Z$4&gt;=CapexMonth)*(Z$4&lt;=SalOff)*DepExp)</f>
        <v>0</v>
      </c>
      <c r="AA14" s="265" cm="1">
        <f t="array" ref="AA14">SUMPRODUCT(( $C14=CapexCategory)*(AA$4&gt;=CapexMonth)*(AA$4&lt;=SalOff)*DepExp)</f>
        <v>0</v>
      </c>
      <c r="AB14" s="265" cm="1">
        <f t="array" ref="AB14">SUMPRODUCT(( $C14=CapexCategory)*(AB$4&gt;=CapexMonth)*(AB$4&lt;=SalOff)*DepExp)</f>
        <v>0</v>
      </c>
      <c r="AC14" s="265" cm="1">
        <f t="array" ref="AC14">SUMPRODUCT(( $C14=CapexCategory)*(AC$4&gt;=CapexMonth)*(AC$4&lt;=SalOff)*DepExp)</f>
        <v>0</v>
      </c>
      <c r="AD14" s="265" cm="1">
        <f t="array" ref="AD14">SUMPRODUCT(( $C14=CapexCategory)*(AD$4&gt;=CapexMonth)*(AD$4&lt;=SalOff)*DepExp)</f>
        <v>0</v>
      </c>
      <c r="AE14" s="265" cm="1">
        <f t="array" ref="AE14">SUMPRODUCT(( $C14=CapexCategory)*(AE$4&gt;=CapexMonth)*(AE$4&lt;=SalOff)*DepExp)</f>
        <v>0</v>
      </c>
      <c r="AF14" s="265" cm="1">
        <f t="array" ref="AF14">SUMPRODUCT(( $C14=CapexCategory)*(AF$4&gt;=CapexMonth)*(AF$4&lt;=SalOff)*DepExp)</f>
        <v>0</v>
      </c>
      <c r="AG14" s="265" cm="1">
        <f t="array" ref="AG14">SUMPRODUCT(( $C14=CapexCategory)*(AG$4&gt;=CapexMonth)*(AG$4&lt;=SalOff)*DepExp)</f>
        <v>0</v>
      </c>
      <c r="AH14" s="263" cm="1">
        <f t="array" ref="AH14">SUMPRODUCT(( $C14=CapexCategory)*(AH$4&gt;=CapexMonth)*(AH$4&lt;=SalOff)*DepExp)</f>
        <v>0</v>
      </c>
      <c r="AI14" s="265" cm="1">
        <f t="array" ref="AI14">SUMPRODUCT(( $C14=CapexCategory)*(AI$4&gt;=CapexMonth)*(AI$4&lt;=SalOff)*DepExp)</f>
        <v>0</v>
      </c>
      <c r="AJ14" s="265" cm="1">
        <f t="array" ref="AJ14">SUMPRODUCT(( $C14=CapexCategory)*(AJ$4&gt;=CapexMonth)*(AJ$4&lt;=SalOff)*DepExp)</f>
        <v>0</v>
      </c>
      <c r="AK14" s="265" cm="1">
        <f t="array" ref="AK14">SUMPRODUCT(( $C14=CapexCategory)*(AK$4&gt;=CapexMonth)*(AK$4&lt;=SalOff)*DepExp)</f>
        <v>0</v>
      </c>
      <c r="AL14" s="265" cm="1">
        <f t="array" ref="AL14">SUMPRODUCT(( $C14=CapexCategory)*(AL$4&gt;=CapexMonth)*(AL$4&lt;=SalOff)*DepExp)</f>
        <v>0</v>
      </c>
      <c r="AM14" s="265" cm="1">
        <f t="array" ref="AM14">SUMPRODUCT(( $C14=CapexCategory)*(AM$4&gt;=CapexMonth)*(AM$4&lt;=SalOff)*DepExp)</f>
        <v>0</v>
      </c>
      <c r="AN14" s="265" cm="1">
        <f t="array" ref="AN14">SUMPRODUCT(( $C14=CapexCategory)*(AN$4&gt;=CapexMonth)*(AN$4&lt;=SalOff)*DepExp)</f>
        <v>0</v>
      </c>
      <c r="AO14" s="265" cm="1">
        <f t="array" ref="AO14">SUMPRODUCT(( $C14=CapexCategory)*(AO$4&gt;=CapexMonth)*(AO$4&lt;=SalOff)*DepExp)</f>
        <v>0</v>
      </c>
      <c r="AP14" s="265" cm="1">
        <f t="array" ref="AP14">SUMPRODUCT(( $C14=CapexCategory)*(AP$4&gt;=CapexMonth)*(AP$4&lt;=SalOff)*DepExp)</f>
        <v>0</v>
      </c>
      <c r="AQ14" s="265" cm="1">
        <f t="array" ref="AQ14">SUMPRODUCT(( $C14=CapexCategory)*(AQ$4&gt;=CapexMonth)*(AQ$4&lt;=SalOff)*DepExp)</f>
        <v>0</v>
      </c>
      <c r="AR14" s="265" cm="1">
        <f t="array" ref="AR14">SUMPRODUCT(( $C14=CapexCategory)*(AR$4&gt;=CapexMonth)*(AR$4&lt;=SalOff)*DepExp)</f>
        <v>0</v>
      </c>
      <c r="AS14" s="265" cm="1">
        <f t="array" ref="AS14">SUMPRODUCT(( $C14=CapexCategory)*(AS$4&gt;=CapexMonth)*(AS$4&lt;=SalOff)*DepExp)</f>
        <v>0</v>
      </c>
      <c r="AT14" s="263" cm="1">
        <f t="array" ref="AT14">SUMPRODUCT(( $C14=CapexCategory)*(AT$4&gt;=CapexMonth)*(AT$4&lt;=SalOff)*DepExp)</f>
        <v>0</v>
      </c>
      <c r="AU14" s="265" cm="1">
        <f t="array" ref="AU14">SUMPRODUCT(( $C14=CapexCategory)*(AU$4&gt;=CapexMonth)*(AU$4&lt;=SalOff)*DepExp)</f>
        <v>0</v>
      </c>
      <c r="AV14" s="265" cm="1">
        <f t="array" ref="AV14">SUMPRODUCT(( $C14=CapexCategory)*(AV$4&gt;=CapexMonth)*(AV$4&lt;=SalOff)*DepExp)</f>
        <v>0</v>
      </c>
      <c r="AW14" s="265" cm="1">
        <f t="array" ref="AW14">SUMPRODUCT(( $C14=CapexCategory)*(AW$4&gt;=CapexMonth)*(AW$4&lt;=SalOff)*DepExp)</f>
        <v>0</v>
      </c>
      <c r="AX14" s="265" cm="1">
        <f t="array" ref="AX14">SUMPRODUCT(( $C14=CapexCategory)*(AX$4&gt;=CapexMonth)*(AX$4&lt;=SalOff)*DepExp)</f>
        <v>0</v>
      </c>
      <c r="AY14" s="265" cm="1">
        <f t="array" ref="AY14">SUMPRODUCT(( $C14=CapexCategory)*(AY$4&gt;=CapexMonth)*(AY$4&lt;=SalOff)*DepExp)</f>
        <v>0</v>
      </c>
      <c r="AZ14" s="265" cm="1">
        <f t="array" ref="AZ14">SUMPRODUCT(( $C14=CapexCategory)*(AZ$4&gt;=CapexMonth)*(AZ$4&lt;=SalOff)*DepExp)</f>
        <v>0</v>
      </c>
      <c r="BA14" s="265" cm="1">
        <f t="array" ref="BA14">SUMPRODUCT(( $C14=CapexCategory)*(BA$4&gt;=CapexMonth)*(BA$4&lt;=SalOff)*DepExp)</f>
        <v>0</v>
      </c>
      <c r="BB14" s="265" cm="1">
        <f t="array" ref="BB14">SUMPRODUCT(( $C14=CapexCategory)*(BB$4&gt;=CapexMonth)*(BB$4&lt;=SalOff)*DepExp)</f>
        <v>0</v>
      </c>
      <c r="BC14" s="265" cm="1">
        <f t="array" ref="BC14">SUMPRODUCT(( $C14=CapexCategory)*(BC$4&gt;=CapexMonth)*(BC$4&lt;=SalOff)*DepExp)</f>
        <v>0</v>
      </c>
      <c r="BD14" s="265" cm="1">
        <f t="array" ref="BD14">SUMPRODUCT(( $C14=CapexCategory)*(BD$4&gt;=CapexMonth)*(BD$4&lt;=SalOff)*DepExp)</f>
        <v>0</v>
      </c>
      <c r="BE14" s="265" cm="1">
        <f t="array" ref="BE14">SUMPRODUCT(( $C14=CapexCategory)*(BE$4&gt;=CapexMonth)*(BE$4&lt;=SalOff)*DepExp)</f>
        <v>0</v>
      </c>
      <c r="BF14" s="263" cm="1">
        <f t="array" ref="BF14">SUMPRODUCT(( $C14=CapexCategory)*(BF$4&gt;=CapexMonth)*(BF$4&lt;=SalOff)*DepExp)</f>
        <v>0</v>
      </c>
      <c r="BG14" s="265" cm="1">
        <f t="array" ref="BG14">SUMPRODUCT(( $C14=CapexCategory)*(BG$4&gt;=CapexMonth)*(BG$4&lt;=SalOff)*DepExp)</f>
        <v>0</v>
      </c>
      <c r="BH14" s="265" cm="1">
        <f t="array" ref="BH14">SUMPRODUCT(( $C14=CapexCategory)*(BH$4&gt;=CapexMonth)*(BH$4&lt;=SalOff)*DepExp)</f>
        <v>0</v>
      </c>
      <c r="BI14" s="265" cm="1">
        <f t="array" ref="BI14">SUMPRODUCT(( $C14=CapexCategory)*(BI$4&gt;=CapexMonth)*(BI$4&lt;=SalOff)*DepExp)</f>
        <v>0</v>
      </c>
      <c r="BJ14" s="265" cm="1">
        <f t="array" ref="BJ14">SUMPRODUCT(( $C14=CapexCategory)*(BJ$4&gt;=CapexMonth)*(BJ$4&lt;=SalOff)*DepExp)</f>
        <v>0</v>
      </c>
      <c r="BK14" s="265" cm="1">
        <f t="array" ref="BK14">SUMPRODUCT(( $C14=CapexCategory)*(BK$4&gt;=CapexMonth)*(BK$4&lt;=SalOff)*DepExp)</f>
        <v>0</v>
      </c>
      <c r="BL14" s="265" cm="1">
        <f t="array" ref="BL14">SUMPRODUCT(( $C14=CapexCategory)*(BL$4&gt;=CapexMonth)*(BL$4&lt;=SalOff)*DepExp)</f>
        <v>0</v>
      </c>
      <c r="BM14" s="265" cm="1">
        <f t="array" ref="BM14">SUMPRODUCT(( $C14=CapexCategory)*(BM$4&gt;=CapexMonth)*(BM$4&lt;=SalOff)*DepExp)</f>
        <v>0</v>
      </c>
      <c r="BN14" s="265" cm="1">
        <f t="array" ref="BN14">SUMPRODUCT(( $C14=CapexCategory)*(BN$4&gt;=CapexMonth)*(BN$4&lt;=SalOff)*DepExp)</f>
        <v>0</v>
      </c>
      <c r="BO14" s="265" cm="1">
        <f t="array" ref="BO14">SUMPRODUCT(( $C14=CapexCategory)*(BO$4&gt;=CapexMonth)*(BO$4&lt;=SalOff)*DepExp)</f>
        <v>0</v>
      </c>
      <c r="BP14" s="265" cm="1">
        <f t="array" ref="BP14">SUMPRODUCT(( $C14=CapexCategory)*(BP$4&gt;=CapexMonth)*(BP$4&lt;=SalOff)*DepExp)</f>
        <v>0</v>
      </c>
      <c r="BQ14" s="265" cm="1">
        <f t="array" ref="BQ14">SUMPRODUCT(( $C14=CapexCategory)*(BQ$4&gt;=CapexMonth)*(BQ$4&lt;=SalOff)*DepExp)</f>
        <v>0</v>
      </c>
      <c r="BR14" s="263" cm="1">
        <f t="array" ref="BR14">SUMPRODUCT(( $C14=CapexCategory)*(BR$4&gt;=CapexMonth)*(BR$4&lt;=SalOff)*DepExp)</f>
        <v>0</v>
      </c>
    </row>
    <row r="15" spans="1:70" ht="13.2" x14ac:dyDescent="0.3">
      <c r="C15" s="185" t="s">
        <v>220</v>
      </c>
      <c r="D15" s="14"/>
      <c r="E15" s="263">
        <f t="shared" ref="E15:E17" si="10">SUM(K15:V15)</f>
        <v>40</v>
      </c>
      <c r="F15" s="263">
        <f t="shared" si="6"/>
        <v>0</v>
      </c>
      <c r="G15" s="263">
        <f t="shared" si="7"/>
        <v>0</v>
      </c>
      <c r="H15" s="263">
        <f t="shared" si="8"/>
        <v>0</v>
      </c>
      <c r="I15" s="263">
        <f t="shared" si="9"/>
        <v>0</v>
      </c>
      <c r="J15" s="264"/>
      <c r="K15" s="265" cm="1">
        <f t="array" ref="K15">SUMPRODUCT(( $C15=CapexCategory)*(K$4&gt;=CapexMonth)*(K$4&lt;=SalOff)*DepExp)</f>
        <v>4</v>
      </c>
      <c r="L15" s="265" cm="1">
        <f t="array" ref="L15">SUMPRODUCT(( $C15=CapexCategory)*(L$4&gt;=CapexMonth)*(L$4&lt;=SalOff)*DepExp)</f>
        <v>4</v>
      </c>
      <c r="M15" s="265" cm="1">
        <f t="array" ref="M15">SUMPRODUCT(( $C15=CapexCategory)*(M$4&gt;=CapexMonth)*(M$4&lt;=SalOff)*DepExp)</f>
        <v>4</v>
      </c>
      <c r="N15" s="265" cm="1">
        <f t="array" ref="N15">SUMPRODUCT(( $C15=CapexCategory)*(N$4&gt;=CapexMonth)*(N$4&lt;=SalOff)*DepExp)</f>
        <v>4</v>
      </c>
      <c r="O15" s="265" cm="1">
        <f t="array" ref="O15">SUMPRODUCT(( $C15=CapexCategory)*(O$4&gt;=CapexMonth)*(O$4&lt;=SalOff)*DepExp)</f>
        <v>4</v>
      </c>
      <c r="P15" s="265" cm="1">
        <f t="array" ref="P15">SUMPRODUCT(( $C15=CapexCategory)*(P$4&gt;=CapexMonth)*(P$4&lt;=SalOff)*DepExp)</f>
        <v>4</v>
      </c>
      <c r="Q15" s="265" cm="1">
        <f t="array" ref="Q15">SUMPRODUCT(( $C15=CapexCategory)*(Q$4&gt;=CapexMonth)*(Q$4&lt;=SalOff)*DepExp)</f>
        <v>4</v>
      </c>
      <c r="R15" s="265" cm="1">
        <f t="array" ref="R15">SUMPRODUCT(( $C15=CapexCategory)*(R$4&gt;=CapexMonth)*(R$4&lt;=SalOff)*DepExp)</f>
        <v>4</v>
      </c>
      <c r="S15" s="265" cm="1">
        <f t="array" ref="S15">SUMPRODUCT(( $C15=CapexCategory)*(S$4&gt;=CapexMonth)*(S$4&lt;=SalOff)*DepExp)</f>
        <v>4</v>
      </c>
      <c r="T15" s="265" cm="1">
        <f t="array" ref="T15">SUMPRODUCT(( $C15=CapexCategory)*(T$4&gt;=CapexMonth)*(T$4&lt;=SalOff)*DepExp)</f>
        <v>4</v>
      </c>
      <c r="U15" s="265" cm="1">
        <f t="array" ref="U15">SUMPRODUCT(( $C15=CapexCategory)*(U$4&gt;=CapexMonth)*(U$4&lt;=SalOff)*DepExp)</f>
        <v>0</v>
      </c>
      <c r="V15" s="263" cm="1">
        <f t="array" ref="V15">SUMPRODUCT(( $C15=CapexCategory)*(V$4&gt;=CapexMonth)*(V$4&lt;=SalOff)*DepExp)</f>
        <v>0</v>
      </c>
      <c r="W15" s="265" cm="1">
        <f t="array" ref="W15">SUMPRODUCT(( $C15=CapexCategory)*(W$4&gt;=CapexMonth)*(W$4&lt;=SalOff)*DepExp)</f>
        <v>0</v>
      </c>
      <c r="X15" s="265" cm="1">
        <f t="array" ref="X15">SUMPRODUCT(( $C15=CapexCategory)*(X$4&gt;=CapexMonth)*(X$4&lt;=SalOff)*DepExp)</f>
        <v>0</v>
      </c>
      <c r="Y15" s="265" cm="1">
        <f t="array" ref="Y15">SUMPRODUCT(( $C15=CapexCategory)*(Y$4&gt;=CapexMonth)*(Y$4&lt;=SalOff)*DepExp)</f>
        <v>0</v>
      </c>
      <c r="Z15" s="265" cm="1">
        <f t="array" ref="Z15">SUMPRODUCT(( $C15=CapexCategory)*(Z$4&gt;=CapexMonth)*(Z$4&lt;=SalOff)*DepExp)</f>
        <v>0</v>
      </c>
      <c r="AA15" s="265" cm="1">
        <f t="array" ref="AA15">SUMPRODUCT(( $C15=CapexCategory)*(AA$4&gt;=CapexMonth)*(AA$4&lt;=SalOff)*DepExp)</f>
        <v>0</v>
      </c>
      <c r="AB15" s="265" cm="1">
        <f t="array" ref="AB15">SUMPRODUCT(( $C15=CapexCategory)*(AB$4&gt;=CapexMonth)*(AB$4&lt;=SalOff)*DepExp)</f>
        <v>0</v>
      </c>
      <c r="AC15" s="265" cm="1">
        <f t="array" ref="AC15">SUMPRODUCT(( $C15=CapexCategory)*(AC$4&gt;=CapexMonth)*(AC$4&lt;=SalOff)*DepExp)</f>
        <v>0</v>
      </c>
      <c r="AD15" s="265" cm="1">
        <f t="array" ref="AD15">SUMPRODUCT(( $C15=CapexCategory)*(AD$4&gt;=CapexMonth)*(AD$4&lt;=SalOff)*DepExp)</f>
        <v>0</v>
      </c>
      <c r="AE15" s="265" cm="1">
        <f t="array" ref="AE15">SUMPRODUCT(( $C15=CapexCategory)*(AE$4&gt;=CapexMonth)*(AE$4&lt;=SalOff)*DepExp)</f>
        <v>0</v>
      </c>
      <c r="AF15" s="265" cm="1">
        <f t="array" ref="AF15">SUMPRODUCT(( $C15=CapexCategory)*(AF$4&gt;=CapexMonth)*(AF$4&lt;=SalOff)*DepExp)</f>
        <v>0</v>
      </c>
      <c r="AG15" s="265" cm="1">
        <f t="array" ref="AG15">SUMPRODUCT(( $C15=CapexCategory)*(AG$4&gt;=CapexMonth)*(AG$4&lt;=SalOff)*DepExp)</f>
        <v>0</v>
      </c>
      <c r="AH15" s="263" cm="1">
        <f t="array" ref="AH15">SUMPRODUCT(( $C15=CapexCategory)*(AH$4&gt;=CapexMonth)*(AH$4&lt;=SalOff)*DepExp)</f>
        <v>0</v>
      </c>
      <c r="AI15" s="265" cm="1">
        <f t="array" ref="AI15">SUMPRODUCT(( $C15=CapexCategory)*(AI$4&gt;=CapexMonth)*(AI$4&lt;=SalOff)*DepExp)</f>
        <v>0</v>
      </c>
      <c r="AJ15" s="265" cm="1">
        <f t="array" ref="AJ15">SUMPRODUCT(( $C15=CapexCategory)*(AJ$4&gt;=CapexMonth)*(AJ$4&lt;=SalOff)*DepExp)</f>
        <v>0</v>
      </c>
      <c r="AK15" s="265" cm="1">
        <f t="array" ref="AK15">SUMPRODUCT(( $C15=CapexCategory)*(AK$4&gt;=CapexMonth)*(AK$4&lt;=SalOff)*DepExp)</f>
        <v>0</v>
      </c>
      <c r="AL15" s="265" cm="1">
        <f t="array" ref="AL15">SUMPRODUCT(( $C15=CapexCategory)*(AL$4&gt;=CapexMonth)*(AL$4&lt;=SalOff)*DepExp)</f>
        <v>0</v>
      </c>
      <c r="AM15" s="265" cm="1">
        <f t="array" ref="AM15">SUMPRODUCT(( $C15=CapexCategory)*(AM$4&gt;=CapexMonth)*(AM$4&lt;=SalOff)*DepExp)</f>
        <v>0</v>
      </c>
      <c r="AN15" s="265" cm="1">
        <f t="array" ref="AN15">SUMPRODUCT(( $C15=CapexCategory)*(AN$4&gt;=CapexMonth)*(AN$4&lt;=SalOff)*DepExp)</f>
        <v>0</v>
      </c>
      <c r="AO15" s="265" cm="1">
        <f t="array" ref="AO15">SUMPRODUCT(( $C15=CapexCategory)*(AO$4&gt;=CapexMonth)*(AO$4&lt;=SalOff)*DepExp)</f>
        <v>0</v>
      </c>
      <c r="AP15" s="265" cm="1">
        <f t="array" ref="AP15">SUMPRODUCT(( $C15=CapexCategory)*(AP$4&gt;=CapexMonth)*(AP$4&lt;=SalOff)*DepExp)</f>
        <v>0</v>
      </c>
      <c r="AQ15" s="265" cm="1">
        <f t="array" ref="AQ15">SUMPRODUCT(( $C15=CapexCategory)*(AQ$4&gt;=CapexMonth)*(AQ$4&lt;=SalOff)*DepExp)</f>
        <v>0</v>
      </c>
      <c r="AR15" s="265" cm="1">
        <f t="array" ref="AR15">SUMPRODUCT(( $C15=CapexCategory)*(AR$4&gt;=CapexMonth)*(AR$4&lt;=SalOff)*DepExp)</f>
        <v>0</v>
      </c>
      <c r="AS15" s="265" cm="1">
        <f t="array" ref="AS15">SUMPRODUCT(( $C15=CapexCategory)*(AS$4&gt;=CapexMonth)*(AS$4&lt;=SalOff)*DepExp)</f>
        <v>0</v>
      </c>
      <c r="AT15" s="263" cm="1">
        <f t="array" ref="AT15">SUMPRODUCT(( $C15=CapexCategory)*(AT$4&gt;=CapexMonth)*(AT$4&lt;=SalOff)*DepExp)</f>
        <v>0</v>
      </c>
      <c r="AU15" s="265" cm="1">
        <f t="array" ref="AU15">SUMPRODUCT(( $C15=CapexCategory)*(AU$4&gt;=CapexMonth)*(AU$4&lt;=SalOff)*DepExp)</f>
        <v>0</v>
      </c>
      <c r="AV15" s="265" cm="1">
        <f t="array" ref="AV15">SUMPRODUCT(( $C15=CapexCategory)*(AV$4&gt;=CapexMonth)*(AV$4&lt;=SalOff)*DepExp)</f>
        <v>0</v>
      </c>
      <c r="AW15" s="265" cm="1">
        <f t="array" ref="AW15">SUMPRODUCT(( $C15=CapexCategory)*(AW$4&gt;=CapexMonth)*(AW$4&lt;=SalOff)*DepExp)</f>
        <v>0</v>
      </c>
      <c r="AX15" s="265" cm="1">
        <f t="array" ref="AX15">SUMPRODUCT(( $C15=CapexCategory)*(AX$4&gt;=CapexMonth)*(AX$4&lt;=SalOff)*DepExp)</f>
        <v>0</v>
      </c>
      <c r="AY15" s="265" cm="1">
        <f t="array" ref="AY15">SUMPRODUCT(( $C15=CapexCategory)*(AY$4&gt;=CapexMonth)*(AY$4&lt;=SalOff)*DepExp)</f>
        <v>0</v>
      </c>
      <c r="AZ15" s="265" cm="1">
        <f t="array" ref="AZ15">SUMPRODUCT(( $C15=CapexCategory)*(AZ$4&gt;=CapexMonth)*(AZ$4&lt;=SalOff)*DepExp)</f>
        <v>0</v>
      </c>
      <c r="BA15" s="265" cm="1">
        <f t="array" ref="BA15">SUMPRODUCT(( $C15=CapexCategory)*(BA$4&gt;=CapexMonth)*(BA$4&lt;=SalOff)*DepExp)</f>
        <v>0</v>
      </c>
      <c r="BB15" s="265" cm="1">
        <f t="array" ref="BB15">SUMPRODUCT(( $C15=CapexCategory)*(BB$4&gt;=CapexMonth)*(BB$4&lt;=SalOff)*DepExp)</f>
        <v>0</v>
      </c>
      <c r="BC15" s="265" cm="1">
        <f t="array" ref="BC15">SUMPRODUCT(( $C15=CapexCategory)*(BC$4&gt;=CapexMonth)*(BC$4&lt;=SalOff)*DepExp)</f>
        <v>0</v>
      </c>
      <c r="BD15" s="265" cm="1">
        <f t="array" ref="BD15">SUMPRODUCT(( $C15=CapexCategory)*(BD$4&gt;=CapexMonth)*(BD$4&lt;=SalOff)*DepExp)</f>
        <v>0</v>
      </c>
      <c r="BE15" s="265" cm="1">
        <f t="array" ref="BE15">SUMPRODUCT(( $C15=CapexCategory)*(BE$4&gt;=CapexMonth)*(BE$4&lt;=SalOff)*DepExp)</f>
        <v>0</v>
      </c>
      <c r="BF15" s="263" cm="1">
        <f t="array" ref="BF15">SUMPRODUCT(( $C15=CapexCategory)*(BF$4&gt;=CapexMonth)*(BF$4&lt;=SalOff)*DepExp)</f>
        <v>0</v>
      </c>
      <c r="BG15" s="265" cm="1">
        <f t="array" ref="BG15">SUMPRODUCT(( $C15=CapexCategory)*(BG$4&gt;=CapexMonth)*(BG$4&lt;=SalOff)*DepExp)</f>
        <v>0</v>
      </c>
      <c r="BH15" s="265" cm="1">
        <f t="array" ref="BH15">SUMPRODUCT(( $C15=CapexCategory)*(BH$4&gt;=CapexMonth)*(BH$4&lt;=SalOff)*DepExp)</f>
        <v>0</v>
      </c>
      <c r="BI15" s="265" cm="1">
        <f t="array" ref="BI15">SUMPRODUCT(( $C15=CapexCategory)*(BI$4&gt;=CapexMonth)*(BI$4&lt;=SalOff)*DepExp)</f>
        <v>0</v>
      </c>
      <c r="BJ15" s="265" cm="1">
        <f t="array" ref="BJ15">SUMPRODUCT(( $C15=CapexCategory)*(BJ$4&gt;=CapexMonth)*(BJ$4&lt;=SalOff)*DepExp)</f>
        <v>0</v>
      </c>
      <c r="BK15" s="265" cm="1">
        <f t="array" ref="BK15">SUMPRODUCT(( $C15=CapexCategory)*(BK$4&gt;=CapexMonth)*(BK$4&lt;=SalOff)*DepExp)</f>
        <v>0</v>
      </c>
      <c r="BL15" s="265" cm="1">
        <f t="array" ref="BL15">SUMPRODUCT(( $C15=CapexCategory)*(BL$4&gt;=CapexMonth)*(BL$4&lt;=SalOff)*DepExp)</f>
        <v>0</v>
      </c>
      <c r="BM15" s="265" cm="1">
        <f t="array" ref="BM15">SUMPRODUCT(( $C15=CapexCategory)*(BM$4&gt;=CapexMonth)*(BM$4&lt;=SalOff)*DepExp)</f>
        <v>0</v>
      </c>
      <c r="BN15" s="265" cm="1">
        <f t="array" ref="BN15">SUMPRODUCT(( $C15=CapexCategory)*(BN$4&gt;=CapexMonth)*(BN$4&lt;=SalOff)*DepExp)</f>
        <v>0</v>
      </c>
      <c r="BO15" s="265" cm="1">
        <f t="array" ref="BO15">SUMPRODUCT(( $C15=CapexCategory)*(BO$4&gt;=CapexMonth)*(BO$4&lt;=SalOff)*DepExp)</f>
        <v>0</v>
      </c>
      <c r="BP15" s="265" cm="1">
        <f t="array" ref="BP15">SUMPRODUCT(( $C15=CapexCategory)*(BP$4&gt;=CapexMonth)*(BP$4&lt;=SalOff)*DepExp)</f>
        <v>0</v>
      </c>
      <c r="BQ15" s="265" cm="1">
        <f t="array" ref="BQ15">SUMPRODUCT(( $C15=CapexCategory)*(BQ$4&gt;=CapexMonth)*(BQ$4&lt;=SalOff)*DepExp)</f>
        <v>0</v>
      </c>
      <c r="BR15" s="263" cm="1">
        <f t="array" ref="BR15">SUMPRODUCT(( $C15=CapexCategory)*(BR$4&gt;=CapexMonth)*(BR$4&lt;=SalOff)*DepExp)</f>
        <v>0</v>
      </c>
    </row>
    <row r="16" spans="1:70" ht="13.2" x14ac:dyDescent="0.3">
      <c r="C16" s="185" t="s">
        <v>221</v>
      </c>
      <c r="D16" s="14"/>
      <c r="E16" s="263">
        <f t="shared" si="10"/>
        <v>0</v>
      </c>
      <c r="F16" s="263">
        <f t="shared" si="6"/>
        <v>0</v>
      </c>
      <c r="G16" s="263">
        <f t="shared" si="7"/>
        <v>0</v>
      </c>
      <c r="H16" s="263">
        <f t="shared" si="8"/>
        <v>0</v>
      </c>
      <c r="I16" s="263">
        <f t="shared" si="9"/>
        <v>0</v>
      </c>
      <c r="J16" s="264"/>
      <c r="K16" s="265" cm="1">
        <f t="array" ref="K16">SUMPRODUCT(( $C16=CapexCategory)*(K$4&gt;=CapexMonth)*(K$4&lt;=SalOff)*DepExp)</f>
        <v>0</v>
      </c>
      <c r="L16" s="265" cm="1">
        <f t="array" ref="L16">SUMPRODUCT(( $C16=CapexCategory)*(L$4&gt;=CapexMonth)*(L$4&lt;=SalOff)*DepExp)</f>
        <v>0</v>
      </c>
      <c r="M16" s="265" cm="1">
        <f t="array" ref="M16">SUMPRODUCT(( $C16=CapexCategory)*(M$4&gt;=CapexMonth)*(M$4&lt;=SalOff)*DepExp)</f>
        <v>0</v>
      </c>
      <c r="N16" s="265" cm="1">
        <f t="array" ref="N16">SUMPRODUCT(( $C16=CapexCategory)*(N$4&gt;=CapexMonth)*(N$4&lt;=SalOff)*DepExp)</f>
        <v>0</v>
      </c>
      <c r="O16" s="265" cm="1">
        <f t="array" ref="O16">SUMPRODUCT(( $C16=CapexCategory)*(O$4&gt;=CapexMonth)*(O$4&lt;=SalOff)*DepExp)</f>
        <v>0</v>
      </c>
      <c r="P16" s="265" cm="1">
        <f t="array" ref="P16">SUMPRODUCT(( $C16=CapexCategory)*(P$4&gt;=CapexMonth)*(P$4&lt;=SalOff)*DepExp)</f>
        <v>0</v>
      </c>
      <c r="Q16" s="265" cm="1">
        <f t="array" ref="Q16">SUMPRODUCT(( $C16=CapexCategory)*(Q$4&gt;=CapexMonth)*(Q$4&lt;=SalOff)*DepExp)</f>
        <v>0</v>
      </c>
      <c r="R16" s="265" cm="1">
        <f t="array" ref="R16">SUMPRODUCT(( $C16=CapexCategory)*(R$4&gt;=CapexMonth)*(R$4&lt;=SalOff)*DepExp)</f>
        <v>0</v>
      </c>
      <c r="S16" s="265" cm="1">
        <f t="array" ref="S16">SUMPRODUCT(( $C16=CapexCategory)*(S$4&gt;=CapexMonth)*(S$4&lt;=SalOff)*DepExp)</f>
        <v>0</v>
      </c>
      <c r="T16" s="265" cm="1">
        <f t="array" ref="T16">SUMPRODUCT(( $C16=CapexCategory)*(T$4&gt;=CapexMonth)*(T$4&lt;=SalOff)*DepExp)</f>
        <v>0</v>
      </c>
      <c r="U16" s="265" cm="1">
        <f t="array" ref="U16">SUMPRODUCT(( $C16=CapexCategory)*(U$4&gt;=CapexMonth)*(U$4&lt;=SalOff)*DepExp)</f>
        <v>0</v>
      </c>
      <c r="V16" s="263" cm="1">
        <f t="array" ref="V16">SUMPRODUCT(( $C16=CapexCategory)*(V$4&gt;=CapexMonth)*(V$4&lt;=SalOff)*DepExp)</f>
        <v>0</v>
      </c>
      <c r="W16" s="265" cm="1">
        <f t="array" ref="W16">SUMPRODUCT(( $C16=CapexCategory)*(W$4&gt;=CapexMonth)*(W$4&lt;=SalOff)*DepExp)</f>
        <v>0</v>
      </c>
      <c r="X16" s="265" cm="1">
        <f t="array" ref="X16">SUMPRODUCT(( $C16=CapexCategory)*(X$4&gt;=CapexMonth)*(X$4&lt;=SalOff)*DepExp)</f>
        <v>0</v>
      </c>
      <c r="Y16" s="265" cm="1">
        <f t="array" ref="Y16">SUMPRODUCT(( $C16=CapexCategory)*(Y$4&gt;=CapexMonth)*(Y$4&lt;=SalOff)*DepExp)</f>
        <v>0</v>
      </c>
      <c r="Z16" s="265" cm="1">
        <f t="array" ref="Z16">SUMPRODUCT(( $C16=CapexCategory)*(Z$4&gt;=CapexMonth)*(Z$4&lt;=SalOff)*DepExp)</f>
        <v>0</v>
      </c>
      <c r="AA16" s="265" cm="1">
        <f t="array" ref="AA16">SUMPRODUCT(( $C16=CapexCategory)*(AA$4&gt;=CapexMonth)*(AA$4&lt;=SalOff)*DepExp)</f>
        <v>0</v>
      </c>
      <c r="AB16" s="265" cm="1">
        <f t="array" ref="AB16">SUMPRODUCT(( $C16=CapexCategory)*(AB$4&gt;=CapexMonth)*(AB$4&lt;=SalOff)*DepExp)</f>
        <v>0</v>
      </c>
      <c r="AC16" s="265" cm="1">
        <f t="array" ref="AC16">SUMPRODUCT(( $C16=CapexCategory)*(AC$4&gt;=CapexMonth)*(AC$4&lt;=SalOff)*DepExp)</f>
        <v>0</v>
      </c>
      <c r="AD16" s="265" cm="1">
        <f t="array" ref="AD16">SUMPRODUCT(( $C16=CapexCategory)*(AD$4&gt;=CapexMonth)*(AD$4&lt;=SalOff)*DepExp)</f>
        <v>0</v>
      </c>
      <c r="AE16" s="265" cm="1">
        <f t="array" ref="AE16">SUMPRODUCT(( $C16=CapexCategory)*(AE$4&gt;=CapexMonth)*(AE$4&lt;=SalOff)*DepExp)</f>
        <v>0</v>
      </c>
      <c r="AF16" s="265" cm="1">
        <f t="array" ref="AF16">SUMPRODUCT(( $C16=CapexCategory)*(AF$4&gt;=CapexMonth)*(AF$4&lt;=SalOff)*DepExp)</f>
        <v>0</v>
      </c>
      <c r="AG16" s="265" cm="1">
        <f t="array" ref="AG16">SUMPRODUCT(( $C16=CapexCategory)*(AG$4&gt;=CapexMonth)*(AG$4&lt;=SalOff)*DepExp)</f>
        <v>0</v>
      </c>
      <c r="AH16" s="263" cm="1">
        <f t="array" ref="AH16">SUMPRODUCT(( $C16=CapexCategory)*(AH$4&gt;=CapexMonth)*(AH$4&lt;=SalOff)*DepExp)</f>
        <v>0</v>
      </c>
      <c r="AI16" s="265" cm="1">
        <f t="array" ref="AI16">SUMPRODUCT(( $C16=CapexCategory)*(AI$4&gt;=CapexMonth)*(AI$4&lt;=SalOff)*DepExp)</f>
        <v>0</v>
      </c>
      <c r="AJ16" s="265" cm="1">
        <f t="array" ref="AJ16">SUMPRODUCT(( $C16=CapexCategory)*(AJ$4&gt;=CapexMonth)*(AJ$4&lt;=SalOff)*DepExp)</f>
        <v>0</v>
      </c>
      <c r="AK16" s="265" cm="1">
        <f t="array" ref="AK16">SUMPRODUCT(( $C16=CapexCategory)*(AK$4&gt;=CapexMonth)*(AK$4&lt;=SalOff)*DepExp)</f>
        <v>0</v>
      </c>
      <c r="AL16" s="265" cm="1">
        <f t="array" ref="AL16">SUMPRODUCT(( $C16=CapexCategory)*(AL$4&gt;=CapexMonth)*(AL$4&lt;=SalOff)*DepExp)</f>
        <v>0</v>
      </c>
      <c r="AM16" s="265" cm="1">
        <f t="array" ref="AM16">SUMPRODUCT(( $C16=CapexCategory)*(AM$4&gt;=CapexMonth)*(AM$4&lt;=SalOff)*DepExp)</f>
        <v>0</v>
      </c>
      <c r="AN16" s="265" cm="1">
        <f t="array" ref="AN16">SUMPRODUCT(( $C16=CapexCategory)*(AN$4&gt;=CapexMonth)*(AN$4&lt;=SalOff)*DepExp)</f>
        <v>0</v>
      </c>
      <c r="AO16" s="265" cm="1">
        <f t="array" ref="AO16">SUMPRODUCT(( $C16=CapexCategory)*(AO$4&gt;=CapexMonth)*(AO$4&lt;=SalOff)*DepExp)</f>
        <v>0</v>
      </c>
      <c r="AP16" s="265" cm="1">
        <f t="array" ref="AP16">SUMPRODUCT(( $C16=CapexCategory)*(AP$4&gt;=CapexMonth)*(AP$4&lt;=SalOff)*DepExp)</f>
        <v>0</v>
      </c>
      <c r="AQ16" s="265" cm="1">
        <f t="array" ref="AQ16">SUMPRODUCT(( $C16=CapexCategory)*(AQ$4&gt;=CapexMonth)*(AQ$4&lt;=SalOff)*DepExp)</f>
        <v>0</v>
      </c>
      <c r="AR16" s="265" cm="1">
        <f t="array" ref="AR16">SUMPRODUCT(( $C16=CapexCategory)*(AR$4&gt;=CapexMonth)*(AR$4&lt;=SalOff)*DepExp)</f>
        <v>0</v>
      </c>
      <c r="AS16" s="265" cm="1">
        <f t="array" ref="AS16">SUMPRODUCT(( $C16=CapexCategory)*(AS$4&gt;=CapexMonth)*(AS$4&lt;=SalOff)*DepExp)</f>
        <v>0</v>
      </c>
      <c r="AT16" s="263" cm="1">
        <f t="array" ref="AT16">SUMPRODUCT(( $C16=CapexCategory)*(AT$4&gt;=CapexMonth)*(AT$4&lt;=SalOff)*DepExp)</f>
        <v>0</v>
      </c>
      <c r="AU16" s="265" cm="1">
        <f t="array" ref="AU16">SUMPRODUCT(( $C16=CapexCategory)*(AU$4&gt;=CapexMonth)*(AU$4&lt;=SalOff)*DepExp)</f>
        <v>0</v>
      </c>
      <c r="AV16" s="265" cm="1">
        <f t="array" ref="AV16">SUMPRODUCT(( $C16=CapexCategory)*(AV$4&gt;=CapexMonth)*(AV$4&lt;=SalOff)*DepExp)</f>
        <v>0</v>
      </c>
      <c r="AW16" s="265" cm="1">
        <f t="array" ref="AW16">SUMPRODUCT(( $C16=CapexCategory)*(AW$4&gt;=CapexMonth)*(AW$4&lt;=SalOff)*DepExp)</f>
        <v>0</v>
      </c>
      <c r="AX16" s="265" cm="1">
        <f t="array" ref="AX16">SUMPRODUCT(( $C16=CapexCategory)*(AX$4&gt;=CapexMonth)*(AX$4&lt;=SalOff)*DepExp)</f>
        <v>0</v>
      </c>
      <c r="AY16" s="265" cm="1">
        <f t="array" ref="AY16">SUMPRODUCT(( $C16=CapexCategory)*(AY$4&gt;=CapexMonth)*(AY$4&lt;=SalOff)*DepExp)</f>
        <v>0</v>
      </c>
      <c r="AZ16" s="265" cm="1">
        <f t="array" ref="AZ16">SUMPRODUCT(( $C16=CapexCategory)*(AZ$4&gt;=CapexMonth)*(AZ$4&lt;=SalOff)*DepExp)</f>
        <v>0</v>
      </c>
      <c r="BA16" s="265" cm="1">
        <f t="array" ref="BA16">SUMPRODUCT(( $C16=CapexCategory)*(BA$4&gt;=CapexMonth)*(BA$4&lt;=SalOff)*DepExp)</f>
        <v>0</v>
      </c>
      <c r="BB16" s="265" cm="1">
        <f t="array" ref="BB16">SUMPRODUCT(( $C16=CapexCategory)*(BB$4&gt;=CapexMonth)*(BB$4&lt;=SalOff)*DepExp)</f>
        <v>0</v>
      </c>
      <c r="BC16" s="265" cm="1">
        <f t="array" ref="BC16">SUMPRODUCT(( $C16=CapexCategory)*(BC$4&gt;=CapexMonth)*(BC$4&lt;=SalOff)*DepExp)</f>
        <v>0</v>
      </c>
      <c r="BD16" s="265" cm="1">
        <f t="array" ref="BD16">SUMPRODUCT(( $C16=CapexCategory)*(BD$4&gt;=CapexMonth)*(BD$4&lt;=SalOff)*DepExp)</f>
        <v>0</v>
      </c>
      <c r="BE16" s="265" cm="1">
        <f t="array" ref="BE16">SUMPRODUCT(( $C16=CapexCategory)*(BE$4&gt;=CapexMonth)*(BE$4&lt;=SalOff)*DepExp)</f>
        <v>0</v>
      </c>
      <c r="BF16" s="263" cm="1">
        <f t="array" ref="BF16">SUMPRODUCT(( $C16=CapexCategory)*(BF$4&gt;=CapexMonth)*(BF$4&lt;=SalOff)*DepExp)</f>
        <v>0</v>
      </c>
      <c r="BG16" s="265" cm="1">
        <f t="array" ref="BG16">SUMPRODUCT(( $C16=CapexCategory)*(BG$4&gt;=CapexMonth)*(BG$4&lt;=SalOff)*DepExp)</f>
        <v>0</v>
      </c>
      <c r="BH16" s="265" cm="1">
        <f t="array" ref="BH16">SUMPRODUCT(( $C16=CapexCategory)*(BH$4&gt;=CapexMonth)*(BH$4&lt;=SalOff)*DepExp)</f>
        <v>0</v>
      </c>
      <c r="BI16" s="265" cm="1">
        <f t="array" ref="BI16">SUMPRODUCT(( $C16=CapexCategory)*(BI$4&gt;=CapexMonth)*(BI$4&lt;=SalOff)*DepExp)</f>
        <v>0</v>
      </c>
      <c r="BJ16" s="265" cm="1">
        <f t="array" ref="BJ16">SUMPRODUCT(( $C16=CapexCategory)*(BJ$4&gt;=CapexMonth)*(BJ$4&lt;=SalOff)*DepExp)</f>
        <v>0</v>
      </c>
      <c r="BK16" s="265" cm="1">
        <f t="array" ref="BK16">SUMPRODUCT(( $C16=CapexCategory)*(BK$4&gt;=CapexMonth)*(BK$4&lt;=SalOff)*DepExp)</f>
        <v>0</v>
      </c>
      <c r="BL16" s="265" cm="1">
        <f t="array" ref="BL16">SUMPRODUCT(( $C16=CapexCategory)*(BL$4&gt;=CapexMonth)*(BL$4&lt;=SalOff)*DepExp)</f>
        <v>0</v>
      </c>
      <c r="BM16" s="265" cm="1">
        <f t="array" ref="BM16">SUMPRODUCT(( $C16=CapexCategory)*(BM$4&gt;=CapexMonth)*(BM$4&lt;=SalOff)*DepExp)</f>
        <v>0</v>
      </c>
      <c r="BN16" s="265" cm="1">
        <f t="array" ref="BN16">SUMPRODUCT(( $C16=CapexCategory)*(BN$4&gt;=CapexMonth)*(BN$4&lt;=SalOff)*DepExp)</f>
        <v>0</v>
      </c>
      <c r="BO16" s="265" cm="1">
        <f t="array" ref="BO16">SUMPRODUCT(( $C16=CapexCategory)*(BO$4&gt;=CapexMonth)*(BO$4&lt;=SalOff)*DepExp)</f>
        <v>0</v>
      </c>
      <c r="BP16" s="265" cm="1">
        <f t="array" ref="BP16">SUMPRODUCT(( $C16=CapexCategory)*(BP$4&gt;=CapexMonth)*(BP$4&lt;=SalOff)*DepExp)</f>
        <v>0</v>
      </c>
      <c r="BQ16" s="265" cm="1">
        <f t="array" ref="BQ16">SUMPRODUCT(( $C16=CapexCategory)*(BQ$4&gt;=CapexMonth)*(BQ$4&lt;=SalOff)*DepExp)</f>
        <v>0</v>
      </c>
      <c r="BR16" s="263" cm="1">
        <f t="array" ref="BR16">SUMPRODUCT(( $C16=CapexCategory)*(BR$4&gt;=CapexMonth)*(BR$4&lt;=SalOff)*DepExp)</f>
        <v>0</v>
      </c>
    </row>
    <row r="17" spans="1:70" ht="13.2" x14ac:dyDescent="0.3">
      <c r="C17" s="185" t="s">
        <v>222</v>
      </c>
      <c r="D17" s="14"/>
      <c r="E17" s="263">
        <f t="shared" si="10"/>
        <v>50.000000000000007</v>
      </c>
      <c r="F17" s="263">
        <f t="shared" si="6"/>
        <v>0</v>
      </c>
      <c r="G17" s="263">
        <f t="shared" si="7"/>
        <v>0</v>
      </c>
      <c r="H17" s="263">
        <f t="shared" si="8"/>
        <v>0</v>
      </c>
      <c r="I17" s="263">
        <f t="shared" si="9"/>
        <v>0</v>
      </c>
      <c r="J17" s="264"/>
      <c r="K17" s="265" cm="1">
        <f t="array" ref="K17">SUMPRODUCT(( $C17=CapexCategory)*(K$4&gt;=CapexMonth)*(K$4&lt;=SalOff)*DepExp)</f>
        <v>0</v>
      </c>
      <c r="L17" s="265" cm="1">
        <f t="array" ref="L17">SUMPRODUCT(( $C17=CapexCategory)*(L$4&gt;=CapexMonth)*(L$4&lt;=SalOff)*DepExp)</f>
        <v>0</v>
      </c>
      <c r="M17" s="265" cm="1">
        <f t="array" ref="M17">SUMPRODUCT(( $C17=CapexCategory)*(M$4&gt;=CapexMonth)*(M$4&lt;=SalOff)*DepExp)</f>
        <v>0</v>
      </c>
      <c r="N17" s="265" cm="1">
        <f t="array" ref="N17">SUMPRODUCT(( $C17=CapexCategory)*(N$4&gt;=CapexMonth)*(N$4&lt;=SalOff)*DepExp)</f>
        <v>0</v>
      </c>
      <c r="O17" s="265" cm="1">
        <f t="array" ref="O17">SUMPRODUCT(( $C17=CapexCategory)*(O$4&gt;=CapexMonth)*(O$4&lt;=SalOff)*DepExp)</f>
        <v>0</v>
      </c>
      <c r="P17" s="265" cm="1">
        <f t="array" ref="P17">SUMPRODUCT(( $C17=CapexCategory)*(P$4&gt;=CapexMonth)*(P$4&lt;=SalOff)*DepExp)</f>
        <v>7.1428571428571432</v>
      </c>
      <c r="Q17" s="265" cm="1">
        <f t="array" ref="Q17">SUMPRODUCT(( $C17=CapexCategory)*(Q$4&gt;=CapexMonth)*(Q$4&lt;=SalOff)*DepExp)</f>
        <v>7.1428571428571432</v>
      </c>
      <c r="R17" s="265" cm="1">
        <f t="array" ref="R17">SUMPRODUCT(( $C17=CapexCategory)*(R$4&gt;=CapexMonth)*(R$4&lt;=SalOff)*DepExp)</f>
        <v>7.1428571428571432</v>
      </c>
      <c r="S17" s="265" cm="1">
        <f t="array" ref="S17">SUMPRODUCT(( $C17=CapexCategory)*(S$4&gt;=CapexMonth)*(S$4&lt;=SalOff)*DepExp)</f>
        <v>7.1428571428571432</v>
      </c>
      <c r="T17" s="265" cm="1">
        <f t="array" ref="T17">SUMPRODUCT(( $C17=CapexCategory)*(T$4&gt;=CapexMonth)*(T$4&lt;=SalOff)*DepExp)</f>
        <v>7.1428571428571432</v>
      </c>
      <c r="U17" s="265" cm="1">
        <f t="array" ref="U17">SUMPRODUCT(( $C17=CapexCategory)*(U$4&gt;=CapexMonth)*(U$4&lt;=SalOff)*DepExp)</f>
        <v>7.1428571428571432</v>
      </c>
      <c r="V17" s="263" cm="1">
        <f t="array" ref="V17">SUMPRODUCT(( $C17=CapexCategory)*(V$4&gt;=CapexMonth)*(V$4&lt;=SalOff)*DepExp)</f>
        <v>7.1428571428571432</v>
      </c>
      <c r="W17" s="265" cm="1">
        <f t="array" ref="W17">SUMPRODUCT(( $C17=CapexCategory)*(W$4&gt;=CapexMonth)*(W$4&lt;=SalOff)*DepExp)</f>
        <v>0</v>
      </c>
      <c r="X17" s="265" cm="1">
        <f t="array" ref="X17">SUMPRODUCT(( $C17=CapexCategory)*(X$4&gt;=CapexMonth)*(X$4&lt;=SalOff)*DepExp)</f>
        <v>0</v>
      </c>
      <c r="Y17" s="265" cm="1">
        <f t="array" ref="Y17">SUMPRODUCT(( $C17=CapexCategory)*(Y$4&gt;=CapexMonth)*(Y$4&lt;=SalOff)*DepExp)</f>
        <v>0</v>
      </c>
      <c r="Z17" s="265" cm="1">
        <f t="array" ref="Z17">SUMPRODUCT(( $C17=CapexCategory)*(Z$4&gt;=CapexMonth)*(Z$4&lt;=SalOff)*DepExp)</f>
        <v>0</v>
      </c>
      <c r="AA17" s="265" cm="1">
        <f t="array" ref="AA17">SUMPRODUCT(( $C17=CapexCategory)*(AA$4&gt;=CapexMonth)*(AA$4&lt;=SalOff)*DepExp)</f>
        <v>0</v>
      </c>
      <c r="AB17" s="265" cm="1">
        <f t="array" ref="AB17">SUMPRODUCT(( $C17=CapexCategory)*(AB$4&gt;=CapexMonth)*(AB$4&lt;=SalOff)*DepExp)</f>
        <v>0</v>
      </c>
      <c r="AC17" s="265" cm="1">
        <f t="array" ref="AC17">SUMPRODUCT(( $C17=CapexCategory)*(AC$4&gt;=CapexMonth)*(AC$4&lt;=SalOff)*DepExp)</f>
        <v>0</v>
      </c>
      <c r="AD17" s="265" cm="1">
        <f t="array" ref="AD17">SUMPRODUCT(( $C17=CapexCategory)*(AD$4&gt;=CapexMonth)*(AD$4&lt;=SalOff)*DepExp)</f>
        <v>0</v>
      </c>
      <c r="AE17" s="265" cm="1">
        <f t="array" ref="AE17">SUMPRODUCT(( $C17=CapexCategory)*(AE$4&gt;=CapexMonth)*(AE$4&lt;=SalOff)*DepExp)</f>
        <v>0</v>
      </c>
      <c r="AF17" s="265" cm="1">
        <f t="array" ref="AF17">SUMPRODUCT(( $C17=CapexCategory)*(AF$4&gt;=CapexMonth)*(AF$4&lt;=SalOff)*DepExp)</f>
        <v>0</v>
      </c>
      <c r="AG17" s="265" cm="1">
        <f t="array" ref="AG17">SUMPRODUCT(( $C17=CapexCategory)*(AG$4&gt;=CapexMonth)*(AG$4&lt;=SalOff)*DepExp)</f>
        <v>0</v>
      </c>
      <c r="AH17" s="263" cm="1">
        <f t="array" ref="AH17">SUMPRODUCT(( $C17=CapexCategory)*(AH$4&gt;=CapexMonth)*(AH$4&lt;=SalOff)*DepExp)</f>
        <v>0</v>
      </c>
      <c r="AI17" s="265" cm="1">
        <f t="array" ref="AI17">SUMPRODUCT(( $C17=CapexCategory)*(AI$4&gt;=CapexMonth)*(AI$4&lt;=SalOff)*DepExp)</f>
        <v>0</v>
      </c>
      <c r="AJ17" s="265" cm="1">
        <f t="array" ref="AJ17">SUMPRODUCT(( $C17=CapexCategory)*(AJ$4&gt;=CapexMonth)*(AJ$4&lt;=SalOff)*DepExp)</f>
        <v>0</v>
      </c>
      <c r="AK17" s="265" cm="1">
        <f t="array" ref="AK17">SUMPRODUCT(( $C17=CapexCategory)*(AK$4&gt;=CapexMonth)*(AK$4&lt;=SalOff)*DepExp)</f>
        <v>0</v>
      </c>
      <c r="AL17" s="265" cm="1">
        <f t="array" ref="AL17">SUMPRODUCT(( $C17=CapexCategory)*(AL$4&gt;=CapexMonth)*(AL$4&lt;=SalOff)*DepExp)</f>
        <v>0</v>
      </c>
      <c r="AM17" s="265" cm="1">
        <f t="array" ref="AM17">SUMPRODUCT(( $C17=CapexCategory)*(AM$4&gt;=CapexMonth)*(AM$4&lt;=SalOff)*DepExp)</f>
        <v>0</v>
      </c>
      <c r="AN17" s="265" cm="1">
        <f t="array" ref="AN17">SUMPRODUCT(( $C17=CapexCategory)*(AN$4&gt;=CapexMonth)*(AN$4&lt;=SalOff)*DepExp)</f>
        <v>0</v>
      </c>
      <c r="AO17" s="265" cm="1">
        <f t="array" ref="AO17">SUMPRODUCT(( $C17=CapexCategory)*(AO$4&gt;=CapexMonth)*(AO$4&lt;=SalOff)*DepExp)</f>
        <v>0</v>
      </c>
      <c r="AP17" s="265" cm="1">
        <f t="array" ref="AP17">SUMPRODUCT(( $C17=CapexCategory)*(AP$4&gt;=CapexMonth)*(AP$4&lt;=SalOff)*DepExp)</f>
        <v>0</v>
      </c>
      <c r="AQ17" s="265" cm="1">
        <f t="array" ref="AQ17">SUMPRODUCT(( $C17=CapexCategory)*(AQ$4&gt;=CapexMonth)*(AQ$4&lt;=SalOff)*DepExp)</f>
        <v>0</v>
      </c>
      <c r="AR17" s="265" cm="1">
        <f t="array" ref="AR17">SUMPRODUCT(( $C17=CapexCategory)*(AR$4&gt;=CapexMonth)*(AR$4&lt;=SalOff)*DepExp)</f>
        <v>0</v>
      </c>
      <c r="AS17" s="265" cm="1">
        <f t="array" ref="AS17">SUMPRODUCT(( $C17=CapexCategory)*(AS$4&gt;=CapexMonth)*(AS$4&lt;=SalOff)*DepExp)</f>
        <v>0</v>
      </c>
      <c r="AT17" s="263" cm="1">
        <f t="array" ref="AT17">SUMPRODUCT(( $C17=CapexCategory)*(AT$4&gt;=CapexMonth)*(AT$4&lt;=SalOff)*DepExp)</f>
        <v>0</v>
      </c>
      <c r="AU17" s="265" cm="1">
        <f t="array" ref="AU17">SUMPRODUCT(( $C17=CapexCategory)*(AU$4&gt;=CapexMonth)*(AU$4&lt;=SalOff)*DepExp)</f>
        <v>0</v>
      </c>
      <c r="AV17" s="265" cm="1">
        <f t="array" ref="AV17">SUMPRODUCT(( $C17=CapexCategory)*(AV$4&gt;=CapexMonth)*(AV$4&lt;=SalOff)*DepExp)</f>
        <v>0</v>
      </c>
      <c r="AW17" s="265" cm="1">
        <f t="array" ref="AW17">SUMPRODUCT(( $C17=CapexCategory)*(AW$4&gt;=CapexMonth)*(AW$4&lt;=SalOff)*DepExp)</f>
        <v>0</v>
      </c>
      <c r="AX17" s="265" cm="1">
        <f t="array" ref="AX17">SUMPRODUCT(( $C17=CapexCategory)*(AX$4&gt;=CapexMonth)*(AX$4&lt;=SalOff)*DepExp)</f>
        <v>0</v>
      </c>
      <c r="AY17" s="265" cm="1">
        <f t="array" ref="AY17">SUMPRODUCT(( $C17=CapexCategory)*(AY$4&gt;=CapexMonth)*(AY$4&lt;=SalOff)*DepExp)</f>
        <v>0</v>
      </c>
      <c r="AZ17" s="265" cm="1">
        <f t="array" ref="AZ17">SUMPRODUCT(( $C17=CapexCategory)*(AZ$4&gt;=CapexMonth)*(AZ$4&lt;=SalOff)*DepExp)</f>
        <v>0</v>
      </c>
      <c r="BA17" s="265" cm="1">
        <f t="array" ref="BA17">SUMPRODUCT(( $C17=CapexCategory)*(BA$4&gt;=CapexMonth)*(BA$4&lt;=SalOff)*DepExp)</f>
        <v>0</v>
      </c>
      <c r="BB17" s="265" cm="1">
        <f t="array" ref="BB17">SUMPRODUCT(( $C17=CapexCategory)*(BB$4&gt;=CapexMonth)*(BB$4&lt;=SalOff)*DepExp)</f>
        <v>0</v>
      </c>
      <c r="BC17" s="265" cm="1">
        <f t="array" ref="BC17">SUMPRODUCT(( $C17=CapexCategory)*(BC$4&gt;=CapexMonth)*(BC$4&lt;=SalOff)*DepExp)</f>
        <v>0</v>
      </c>
      <c r="BD17" s="265" cm="1">
        <f t="array" ref="BD17">SUMPRODUCT(( $C17=CapexCategory)*(BD$4&gt;=CapexMonth)*(BD$4&lt;=SalOff)*DepExp)</f>
        <v>0</v>
      </c>
      <c r="BE17" s="265" cm="1">
        <f t="array" ref="BE17">SUMPRODUCT(( $C17=CapexCategory)*(BE$4&gt;=CapexMonth)*(BE$4&lt;=SalOff)*DepExp)</f>
        <v>0</v>
      </c>
      <c r="BF17" s="263" cm="1">
        <f t="array" ref="BF17">SUMPRODUCT(( $C17=CapexCategory)*(BF$4&gt;=CapexMonth)*(BF$4&lt;=SalOff)*DepExp)</f>
        <v>0</v>
      </c>
      <c r="BG17" s="265" cm="1">
        <f t="array" ref="BG17">SUMPRODUCT(( $C17=CapexCategory)*(BG$4&gt;=CapexMonth)*(BG$4&lt;=SalOff)*DepExp)</f>
        <v>0</v>
      </c>
      <c r="BH17" s="265" cm="1">
        <f t="array" ref="BH17">SUMPRODUCT(( $C17=CapexCategory)*(BH$4&gt;=CapexMonth)*(BH$4&lt;=SalOff)*DepExp)</f>
        <v>0</v>
      </c>
      <c r="BI17" s="265" cm="1">
        <f t="array" ref="BI17">SUMPRODUCT(( $C17=CapexCategory)*(BI$4&gt;=CapexMonth)*(BI$4&lt;=SalOff)*DepExp)</f>
        <v>0</v>
      </c>
      <c r="BJ17" s="265" cm="1">
        <f t="array" ref="BJ17">SUMPRODUCT(( $C17=CapexCategory)*(BJ$4&gt;=CapexMonth)*(BJ$4&lt;=SalOff)*DepExp)</f>
        <v>0</v>
      </c>
      <c r="BK17" s="265" cm="1">
        <f t="array" ref="BK17">SUMPRODUCT(( $C17=CapexCategory)*(BK$4&gt;=CapexMonth)*(BK$4&lt;=SalOff)*DepExp)</f>
        <v>0</v>
      </c>
      <c r="BL17" s="265" cm="1">
        <f t="array" ref="BL17">SUMPRODUCT(( $C17=CapexCategory)*(BL$4&gt;=CapexMonth)*(BL$4&lt;=SalOff)*DepExp)</f>
        <v>0</v>
      </c>
      <c r="BM17" s="265" cm="1">
        <f t="array" ref="BM17">SUMPRODUCT(( $C17=CapexCategory)*(BM$4&gt;=CapexMonth)*(BM$4&lt;=SalOff)*DepExp)</f>
        <v>0</v>
      </c>
      <c r="BN17" s="265" cm="1">
        <f t="array" ref="BN17">SUMPRODUCT(( $C17=CapexCategory)*(BN$4&gt;=CapexMonth)*(BN$4&lt;=SalOff)*DepExp)</f>
        <v>0</v>
      </c>
      <c r="BO17" s="265" cm="1">
        <f t="array" ref="BO17">SUMPRODUCT(( $C17=CapexCategory)*(BO$4&gt;=CapexMonth)*(BO$4&lt;=SalOff)*DepExp)</f>
        <v>0</v>
      </c>
      <c r="BP17" s="265" cm="1">
        <f t="array" ref="BP17">SUMPRODUCT(( $C17=CapexCategory)*(BP$4&gt;=CapexMonth)*(BP$4&lt;=SalOff)*DepExp)</f>
        <v>0</v>
      </c>
      <c r="BQ17" s="265" cm="1">
        <f t="array" ref="BQ17">SUMPRODUCT(( $C17=CapexCategory)*(BQ$4&gt;=CapexMonth)*(BQ$4&lt;=SalOff)*DepExp)</f>
        <v>0</v>
      </c>
      <c r="BR17" s="263" cm="1">
        <f t="array" ref="BR17">SUMPRODUCT(( $C17=CapexCategory)*(BR$4&gt;=CapexMonth)*(BR$4&lt;=SalOff)*DepExp)</f>
        <v>0</v>
      </c>
    </row>
    <row r="18" spans="1:70" ht="13.2" x14ac:dyDescent="0.3">
      <c r="C18" s="185" t="s">
        <v>223</v>
      </c>
      <c r="D18" s="14"/>
      <c r="E18" s="263"/>
      <c r="F18" s="263"/>
      <c r="G18" s="263"/>
      <c r="H18" s="263"/>
      <c r="I18" s="263"/>
      <c r="J18" s="264"/>
      <c r="K18" s="265" cm="1">
        <f t="array" ref="K18">SUMPRODUCT(( $C18=CapexCategory)*(K$4&gt;=CapexMonth)*(K$4&lt;=SalOff)*DepExp)</f>
        <v>0</v>
      </c>
      <c r="L18" s="265" cm="1">
        <f t="array" ref="L18">SUMPRODUCT(( $C18=CapexCategory)*(L$4&gt;=CapexMonth)*(L$4&lt;=SalOff)*DepExp)</f>
        <v>0</v>
      </c>
      <c r="M18" s="265" cm="1">
        <f t="array" ref="M18">SUMPRODUCT(( $C18=CapexCategory)*(M$4&gt;=CapexMonth)*(M$4&lt;=SalOff)*DepExp)</f>
        <v>0</v>
      </c>
      <c r="N18" s="265" cm="1">
        <f t="array" ref="N18">SUMPRODUCT(( $C18=CapexCategory)*(N$4&gt;=CapexMonth)*(N$4&lt;=SalOff)*DepExp)</f>
        <v>0</v>
      </c>
      <c r="O18" s="265" cm="1">
        <f t="array" ref="O18">SUMPRODUCT(( $C18=CapexCategory)*(O$4&gt;=CapexMonth)*(O$4&lt;=SalOff)*DepExp)</f>
        <v>0</v>
      </c>
      <c r="P18" s="265" cm="1">
        <f t="array" ref="P18">SUMPRODUCT(( $C18=CapexCategory)*(P$4&gt;=CapexMonth)*(P$4&lt;=SalOff)*DepExp)</f>
        <v>0</v>
      </c>
      <c r="Q18" s="265" cm="1">
        <f t="array" ref="Q18">SUMPRODUCT(( $C18=CapexCategory)*(Q$4&gt;=CapexMonth)*(Q$4&lt;=SalOff)*DepExp)</f>
        <v>0</v>
      </c>
      <c r="R18" s="265" cm="1">
        <f t="array" ref="R18">SUMPRODUCT(( $C18=CapexCategory)*(R$4&gt;=CapexMonth)*(R$4&lt;=SalOff)*DepExp)</f>
        <v>0</v>
      </c>
      <c r="S18" s="265" cm="1">
        <f t="array" ref="S18">SUMPRODUCT(( $C18=CapexCategory)*(S$4&gt;=CapexMonth)*(S$4&lt;=SalOff)*DepExp)</f>
        <v>0</v>
      </c>
      <c r="T18" s="265" cm="1">
        <f t="array" ref="T18">SUMPRODUCT(( $C18=CapexCategory)*(T$4&gt;=CapexMonth)*(T$4&lt;=SalOff)*DepExp)</f>
        <v>0</v>
      </c>
      <c r="U18" s="265" cm="1">
        <f t="array" ref="U18">SUMPRODUCT(( $C18=CapexCategory)*(U$4&gt;=CapexMonth)*(U$4&lt;=SalOff)*DepExp)</f>
        <v>0</v>
      </c>
      <c r="V18" s="263" cm="1">
        <f t="array" ref="V18">SUMPRODUCT(( $C18=CapexCategory)*(V$4&gt;=CapexMonth)*(V$4&lt;=SalOff)*DepExp)</f>
        <v>0</v>
      </c>
      <c r="W18" s="265" cm="1">
        <f t="array" ref="W18">SUMPRODUCT(( $C18=CapexCategory)*(W$4&gt;=CapexMonth)*(W$4&lt;=SalOff)*DepExp)</f>
        <v>0</v>
      </c>
      <c r="X18" s="265" cm="1">
        <f t="array" ref="X18">SUMPRODUCT(( $C18=CapexCategory)*(X$4&gt;=CapexMonth)*(X$4&lt;=SalOff)*DepExp)</f>
        <v>0</v>
      </c>
      <c r="Y18" s="265" cm="1">
        <f t="array" ref="Y18">SUMPRODUCT(( $C18=CapexCategory)*(Y$4&gt;=CapexMonth)*(Y$4&lt;=SalOff)*DepExp)</f>
        <v>0</v>
      </c>
      <c r="Z18" s="265" cm="1">
        <f t="array" ref="Z18">SUMPRODUCT(( $C18=CapexCategory)*(Z$4&gt;=CapexMonth)*(Z$4&lt;=SalOff)*DepExp)</f>
        <v>0</v>
      </c>
      <c r="AA18" s="265" cm="1">
        <f t="array" ref="AA18">SUMPRODUCT(( $C18=CapexCategory)*(AA$4&gt;=CapexMonth)*(AA$4&lt;=SalOff)*DepExp)</f>
        <v>0</v>
      </c>
      <c r="AB18" s="265" cm="1">
        <f t="array" ref="AB18">SUMPRODUCT(( $C18=CapexCategory)*(AB$4&gt;=CapexMonth)*(AB$4&lt;=SalOff)*DepExp)</f>
        <v>0</v>
      </c>
      <c r="AC18" s="265" cm="1">
        <f t="array" ref="AC18">SUMPRODUCT(( $C18=CapexCategory)*(AC$4&gt;=CapexMonth)*(AC$4&lt;=SalOff)*DepExp)</f>
        <v>0</v>
      </c>
      <c r="AD18" s="265" cm="1">
        <f t="array" ref="AD18">SUMPRODUCT(( $C18=CapexCategory)*(AD$4&gt;=CapexMonth)*(AD$4&lt;=SalOff)*DepExp)</f>
        <v>0</v>
      </c>
      <c r="AE18" s="265" cm="1">
        <f t="array" ref="AE18">SUMPRODUCT(( $C18=CapexCategory)*(AE$4&gt;=CapexMonth)*(AE$4&lt;=SalOff)*DepExp)</f>
        <v>0</v>
      </c>
      <c r="AF18" s="265" cm="1">
        <f t="array" ref="AF18">SUMPRODUCT(( $C18=CapexCategory)*(AF$4&gt;=CapexMonth)*(AF$4&lt;=SalOff)*DepExp)</f>
        <v>0</v>
      </c>
      <c r="AG18" s="265" cm="1">
        <f t="array" ref="AG18">SUMPRODUCT(( $C18=CapexCategory)*(AG$4&gt;=CapexMonth)*(AG$4&lt;=SalOff)*DepExp)</f>
        <v>0</v>
      </c>
      <c r="AH18" s="263" cm="1">
        <f t="array" ref="AH18">SUMPRODUCT(( $C18=CapexCategory)*(AH$4&gt;=CapexMonth)*(AH$4&lt;=SalOff)*DepExp)</f>
        <v>0</v>
      </c>
      <c r="AI18" s="265" cm="1">
        <f t="array" ref="AI18">SUMPRODUCT(( $C18=CapexCategory)*(AI$4&gt;=CapexMonth)*(AI$4&lt;=SalOff)*DepExp)</f>
        <v>0</v>
      </c>
      <c r="AJ18" s="265" cm="1">
        <f t="array" ref="AJ18">SUMPRODUCT(( $C18=CapexCategory)*(AJ$4&gt;=CapexMonth)*(AJ$4&lt;=SalOff)*DepExp)</f>
        <v>0</v>
      </c>
      <c r="AK18" s="265" cm="1">
        <f t="array" ref="AK18">SUMPRODUCT(( $C18=CapexCategory)*(AK$4&gt;=CapexMonth)*(AK$4&lt;=SalOff)*DepExp)</f>
        <v>0</v>
      </c>
      <c r="AL18" s="265" cm="1">
        <f t="array" ref="AL18">SUMPRODUCT(( $C18=CapexCategory)*(AL$4&gt;=CapexMonth)*(AL$4&lt;=SalOff)*DepExp)</f>
        <v>0</v>
      </c>
      <c r="AM18" s="265" cm="1">
        <f t="array" ref="AM18">SUMPRODUCT(( $C18=CapexCategory)*(AM$4&gt;=CapexMonth)*(AM$4&lt;=SalOff)*DepExp)</f>
        <v>0</v>
      </c>
      <c r="AN18" s="265" cm="1">
        <f t="array" ref="AN18">SUMPRODUCT(( $C18=CapexCategory)*(AN$4&gt;=CapexMonth)*(AN$4&lt;=SalOff)*DepExp)</f>
        <v>0</v>
      </c>
      <c r="AO18" s="265" cm="1">
        <f t="array" ref="AO18">SUMPRODUCT(( $C18=CapexCategory)*(AO$4&gt;=CapexMonth)*(AO$4&lt;=SalOff)*DepExp)</f>
        <v>0</v>
      </c>
      <c r="AP18" s="265" cm="1">
        <f t="array" ref="AP18">SUMPRODUCT(( $C18=CapexCategory)*(AP$4&gt;=CapexMonth)*(AP$4&lt;=SalOff)*DepExp)</f>
        <v>0</v>
      </c>
      <c r="AQ18" s="265" cm="1">
        <f t="array" ref="AQ18">SUMPRODUCT(( $C18=CapexCategory)*(AQ$4&gt;=CapexMonth)*(AQ$4&lt;=SalOff)*DepExp)</f>
        <v>0</v>
      </c>
      <c r="AR18" s="265" cm="1">
        <f t="array" ref="AR18">SUMPRODUCT(( $C18=CapexCategory)*(AR$4&gt;=CapexMonth)*(AR$4&lt;=SalOff)*DepExp)</f>
        <v>0</v>
      </c>
      <c r="AS18" s="265" cm="1">
        <f t="array" ref="AS18">SUMPRODUCT(( $C18=CapexCategory)*(AS$4&gt;=CapexMonth)*(AS$4&lt;=SalOff)*DepExp)</f>
        <v>0</v>
      </c>
      <c r="AT18" s="263" cm="1">
        <f t="array" ref="AT18">SUMPRODUCT(( $C18=CapexCategory)*(AT$4&gt;=CapexMonth)*(AT$4&lt;=SalOff)*DepExp)</f>
        <v>0</v>
      </c>
      <c r="AU18" s="265" cm="1">
        <f t="array" ref="AU18">SUMPRODUCT(( $C18=CapexCategory)*(AU$4&gt;=CapexMonth)*(AU$4&lt;=SalOff)*DepExp)</f>
        <v>0</v>
      </c>
      <c r="AV18" s="265" cm="1">
        <f t="array" ref="AV18">SUMPRODUCT(( $C18=CapexCategory)*(AV$4&gt;=CapexMonth)*(AV$4&lt;=SalOff)*DepExp)</f>
        <v>0</v>
      </c>
      <c r="AW18" s="265" cm="1">
        <f t="array" ref="AW18">SUMPRODUCT(( $C18=CapexCategory)*(AW$4&gt;=CapexMonth)*(AW$4&lt;=SalOff)*DepExp)</f>
        <v>0</v>
      </c>
      <c r="AX18" s="265" cm="1">
        <f t="array" ref="AX18">SUMPRODUCT(( $C18=CapexCategory)*(AX$4&gt;=CapexMonth)*(AX$4&lt;=SalOff)*DepExp)</f>
        <v>0</v>
      </c>
      <c r="AY18" s="265" cm="1">
        <f t="array" ref="AY18">SUMPRODUCT(( $C18=CapexCategory)*(AY$4&gt;=CapexMonth)*(AY$4&lt;=SalOff)*DepExp)</f>
        <v>0</v>
      </c>
      <c r="AZ18" s="265" cm="1">
        <f t="array" ref="AZ18">SUMPRODUCT(( $C18=CapexCategory)*(AZ$4&gt;=CapexMonth)*(AZ$4&lt;=SalOff)*DepExp)</f>
        <v>0</v>
      </c>
      <c r="BA18" s="265" cm="1">
        <f t="array" ref="BA18">SUMPRODUCT(( $C18=CapexCategory)*(BA$4&gt;=CapexMonth)*(BA$4&lt;=SalOff)*DepExp)</f>
        <v>0</v>
      </c>
      <c r="BB18" s="265" cm="1">
        <f t="array" ref="BB18">SUMPRODUCT(( $C18=CapexCategory)*(BB$4&gt;=CapexMonth)*(BB$4&lt;=SalOff)*DepExp)</f>
        <v>0</v>
      </c>
      <c r="BC18" s="265" cm="1">
        <f t="array" ref="BC18">SUMPRODUCT(( $C18=CapexCategory)*(BC$4&gt;=CapexMonth)*(BC$4&lt;=SalOff)*DepExp)</f>
        <v>0</v>
      </c>
      <c r="BD18" s="265" cm="1">
        <f t="array" ref="BD18">SUMPRODUCT(( $C18=CapexCategory)*(BD$4&gt;=CapexMonth)*(BD$4&lt;=SalOff)*DepExp)</f>
        <v>0</v>
      </c>
      <c r="BE18" s="265" cm="1">
        <f t="array" ref="BE18">SUMPRODUCT(( $C18=CapexCategory)*(BE$4&gt;=CapexMonth)*(BE$4&lt;=SalOff)*DepExp)</f>
        <v>0</v>
      </c>
      <c r="BF18" s="263" cm="1">
        <f t="array" ref="BF18">SUMPRODUCT(( $C18=CapexCategory)*(BF$4&gt;=CapexMonth)*(BF$4&lt;=SalOff)*DepExp)</f>
        <v>0</v>
      </c>
      <c r="BG18" s="265" cm="1">
        <f t="array" ref="BG18">SUMPRODUCT(( $C18=CapexCategory)*(BG$4&gt;=CapexMonth)*(BG$4&lt;=SalOff)*DepExp)</f>
        <v>0</v>
      </c>
      <c r="BH18" s="265" cm="1">
        <f t="array" ref="BH18">SUMPRODUCT(( $C18=CapexCategory)*(BH$4&gt;=CapexMonth)*(BH$4&lt;=SalOff)*DepExp)</f>
        <v>0</v>
      </c>
      <c r="BI18" s="265" cm="1">
        <f t="array" ref="BI18">SUMPRODUCT(( $C18=CapexCategory)*(BI$4&gt;=CapexMonth)*(BI$4&lt;=SalOff)*DepExp)</f>
        <v>0</v>
      </c>
      <c r="BJ18" s="265" cm="1">
        <f t="array" ref="BJ18">SUMPRODUCT(( $C18=CapexCategory)*(BJ$4&gt;=CapexMonth)*(BJ$4&lt;=SalOff)*DepExp)</f>
        <v>0</v>
      </c>
      <c r="BK18" s="265" cm="1">
        <f t="array" ref="BK18">SUMPRODUCT(( $C18=CapexCategory)*(BK$4&gt;=CapexMonth)*(BK$4&lt;=SalOff)*DepExp)</f>
        <v>0</v>
      </c>
      <c r="BL18" s="265" cm="1">
        <f t="array" ref="BL18">SUMPRODUCT(( $C18=CapexCategory)*(BL$4&gt;=CapexMonth)*(BL$4&lt;=SalOff)*DepExp)</f>
        <v>0</v>
      </c>
      <c r="BM18" s="265" cm="1">
        <f t="array" ref="BM18">SUMPRODUCT(( $C18=CapexCategory)*(BM$4&gt;=CapexMonth)*(BM$4&lt;=SalOff)*DepExp)</f>
        <v>0</v>
      </c>
      <c r="BN18" s="265" cm="1">
        <f t="array" ref="BN18">SUMPRODUCT(( $C18=CapexCategory)*(BN$4&gt;=CapexMonth)*(BN$4&lt;=SalOff)*DepExp)</f>
        <v>0</v>
      </c>
      <c r="BO18" s="265" cm="1">
        <f t="array" ref="BO18">SUMPRODUCT(( $C18=CapexCategory)*(BO$4&gt;=CapexMonth)*(BO$4&lt;=SalOff)*DepExp)</f>
        <v>0</v>
      </c>
      <c r="BP18" s="265" cm="1">
        <f t="array" ref="BP18">SUMPRODUCT(( $C18=CapexCategory)*(BP$4&gt;=CapexMonth)*(BP$4&lt;=SalOff)*DepExp)</f>
        <v>0</v>
      </c>
      <c r="BQ18" s="265" cm="1">
        <f t="array" ref="BQ18">SUMPRODUCT(( $C18=CapexCategory)*(BQ$4&gt;=CapexMonth)*(BQ$4&lt;=SalOff)*DepExp)</f>
        <v>0</v>
      </c>
      <c r="BR18" s="263" cm="1">
        <f t="array" ref="BR18">SUMPRODUCT(( $C18=CapexCategory)*(BR$4&gt;=CapexMonth)*(BR$4&lt;=SalOff)*DepExp)</f>
        <v>0</v>
      </c>
    </row>
    <row r="19" spans="1:70" ht="13.2" x14ac:dyDescent="0.3">
      <c r="C19" s="246" t="s">
        <v>224</v>
      </c>
      <c r="D19" s="14"/>
      <c r="E19" s="247">
        <f t="shared" ref="E19:E20" si="11">SUM(K19:V19)</f>
        <v>0</v>
      </c>
      <c r="F19" s="247">
        <f t="shared" ref="F19:F20" si="12">SUM(W19:AH19)</f>
        <v>0</v>
      </c>
      <c r="G19" s="247">
        <f t="shared" ref="G19:G20" si="13">SUM(AI19:AT19)</f>
        <v>0</v>
      </c>
      <c r="H19" s="247">
        <f t="shared" ref="H19:H20" si="14">SUM(AU19:BF19)</f>
        <v>0</v>
      </c>
      <c r="I19" s="247">
        <f t="shared" ref="I19:I20" si="15">SUM(BG19:BR19)</f>
        <v>0</v>
      </c>
      <c r="J19" s="264"/>
      <c r="K19" s="226" cm="1">
        <f t="array" ref="K19">SUMPRODUCT(   ((ISBLANK(CapexCategory) + (CapexCategory="Other"))&gt;0) * (K$4&gt;=CapexMonth)*( K$4&lt;=SalOff)*DepExp)</f>
        <v>0</v>
      </c>
      <c r="L19" s="226" cm="1">
        <f t="array" ref="L19">SUMPRODUCT(   ((ISBLANK(CapexCategory) + (CapexCategory="Other"))&gt;0) * (L$4&gt;=CapexMonth)*( L$4&lt;=SalOff)*DepExp)</f>
        <v>0</v>
      </c>
      <c r="M19" s="226" cm="1">
        <f t="array" ref="M19">SUMPRODUCT(   ((ISBLANK(CapexCategory) + (CapexCategory="Other"))&gt;0) * (M$4&gt;=CapexMonth)*( M$4&lt;=SalOff)*DepExp)</f>
        <v>0</v>
      </c>
      <c r="N19" s="226" cm="1">
        <f t="array" ref="N19">SUMPRODUCT(   ((ISBLANK(CapexCategory) + (CapexCategory="Other"))&gt;0) * (N$4&gt;=CapexMonth)*( N$4&lt;=SalOff)*DepExp)</f>
        <v>0</v>
      </c>
      <c r="O19" s="226" cm="1">
        <f t="array" ref="O19">SUMPRODUCT(   ((ISBLANK(CapexCategory) + (CapexCategory="Other"))&gt;0) * (O$4&gt;=CapexMonth)*( O$4&lt;=SalOff)*DepExp)</f>
        <v>0</v>
      </c>
      <c r="P19" s="226" cm="1">
        <f t="array" ref="P19">SUMPRODUCT(   ((ISBLANK(CapexCategory) + (CapexCategory="Other"))&gt;0) * (P$4&gt;=CapexMonth)*( P$4&lt;=SalOff)*DepExp)</f>
        <v>0</v>
      </c>
      <c r="Q19" s="226" cm="1">
        <f t="array" ref="Q19">SUMPRODUCT(   ((ISBLANK(CapexCategory) + (CapexCategory="Other"))&gt;0) * (Q$4&gt;=CapexMonth)*( Q$4&lt;=SalOff)*DepExp)</f>
        <v>0</v>
      </c>
      <c r="R19" s="226" cm="1">
        <f t="array" ref="R19">SUMPRODUCT(   ((ISBLANK(CapexCategory) + (CapexCategory="Other"))&gt;0) * (R$4&gt;=CapexMonth)*( R$4&lt;=SalOff)*DepExp)</f>
        <v>0</v>
      </c>
      <c r="S19" s="226" cm="1">
        <f t="array" ref="S19">SUMPRODUCT(   ((ISBLANK(CapexCategory) + (CapexCategory="Other"))&gt;0) * (S$4&gt;=CapexMonth)*( S$4&lt;=SalOff)*DepExp)</f>
        <v>0</v>
      </c>
      <c r="T19" s="226" cm="1">
        <f t="array" ref="T19">SUMPRODUCT(   ((ISBLANK(CapexCategory) + (CapexCategory="Other"))&gt;0) * (T$4&gt;=CapexMonth)*( T$4&lt;=SalOff)*DepExp)</f>
        <v>0</v>
      </c>
      <c r="U19" s="226" cm="1">
        <f t="array" ref="U19">SUMPRODUCT(   ((ISBLANK(CapexCategory) + (CapexCategory="Other"))&gt;0) * (U$4&gt;=CapexMonth)*( U$4&lt;=SalOff)*DepExp)</f>
        <v>0</v>
      </c>
      <c r="V19" s="247" cm="1">
        <f t="array" ref="V19">SUMPRODUCT(   ((ISBLANK(CapexCategory) + (CapexCategory="Other"))&gt;0) * (V$4&gt;=CapexMonth)*( V$4&lt;=SalOff)*DepExp)</f>
        <v>0</v>
      </c>
      <c r="W19" s="226" cm="1">
        <f t="array" ref="W19">SUMPRODUCT(   ((ISBLANK(CapexCategory) + (CapexCategory="Other"))&gt;0) * (W$4&gt;=CapexMonth)*( W$4&lt;=SalOff)*DepExp)</f>
        <v>0</v>
      </c>
      <c r="X19" s="226" cm="1">
        <f t="array" ref="X19">SUMPRODUCT(   ((ISBLANK(CapexCategory) + (CapexCategory="Other"))&gt;0) * (X$4&gt;=CapexMonth)*( X$4&lt;=SalOff)*DepExp)</f>
        <v>0</v>
      </c>
      <c r="Y19" s="226" cm="1">
        <f t="array" ref="Y19">SUMPRODUCT(   ((ISBLANK(CapexCategory) + (CapexCategory="Other"))&gt;0) * (Y$4&gt;=CapexMonth)*( Y$4&lt;=SalOff)*DepExp)</f>
        <v>0</v>
      </c>
      <c r="Z19" s="226" cm="1">
        <f t="array" ref="Z19">SUMPRODUCT(   ((ISBLANK(CapexCategory) + (CapexCategory="Other"))&gt;0) * (Z$4&gt;=CapexMonth)*( Z$4&lt;=SalOff)*DepExp)</f>
        <v>0</v>
      </c>
      <c r="AA19" s="226" cm="1">
        <f t="array" ref="AA19">SUMPRODUCT(   ((ISBLANK(CapexCategory) + (CapexCategory="Other"))&gt;0) * (AA$4&gt;=CapexMonth)*( AA$4&lt;=SalOff)*DepExp)</f>
        <v>0</v>
      </c>
      <c r="AB19" s="226" cm="1">
        <f t="array" ref="AB19">SUMPRODUCT(   ((ISBLANK(CapexCategory) + (CapexCategory="Other"))&gt;0) * (AB$4&gt;=CapexMonth)*( AB$4&lt;=SalOff)*DepExp)</f>
        <v>0</v>
      </c>
      <c r="AC19" s="226" cm="1">
        <f t="array" ref="AC19">SUMPRODUCT(   ((ISBLANK(CapexCategory) + (CapexCategory="Other"))&gt;0) * (AC$4&gt;=CapexMonth)*( AC$4&lt;=SalOff)*DepExp)</f>
        <v>0</v>
      </c>
      <c r="AD19" s="226" cm="1">
        <f t="array" ref="AD19">SUMPRODUCT(   ((ISBLANK(CapexCategory) + (CapexCategory="Other"))&gt;0) * (AD$4&gt;=CapexMonth)*( AD$4&lt;=SalOff)*DepExp)</f>
        <v>0</v>
      </c>
      <c r="AE19" s="226" cm="1">
        <f t="array" ref="AE19">SUMPRODUCT(   ((ISBLANK(CapexCategory) + (CapexCategory="Other"))&gt;0) * (AE$4&gt;=CapexMonth)*( AE$4&lt;=SalOff)*DepExp)</f>
        <v>0</v>
      </c>
      <c r="AF19" s="226" cm="1">
        <f t="array" ref="AF19">SUMPRODUCT(   ((ISBLANK(CapexCategory) + (CapexCategory="Other"))&gt;0) * (AF$4&gt;=CapexMonth)*( AF$4&lt;=SalOff)*DepExp)</f>
        <v>0</v>
      </c>
      <c r="AG19" s="226" cm="1">
        <f t="array" ref="AG19">SUMPRODUCT(   ((ISBLANK(CapexCategory) + (CapexCategory="Other"))&gt;0) * (AG$4&gt;=CapexMonth)*( AG$4&lt;=SalOff)*DepExp)</f>
        <v>0</v>
      </c>
      <c r="AH19" s="247" cm="1">
        <f t="array" ref="AH19">SUMPRODUCT(   ((ISBLANK(CapexCategory) + (CapexCategory="Other"))&gt;0) * (AH$4&gt;=CapexMonth)*( AH$4&lt;=SalOff)*DepExp)</f>
        <v>0</v>
      </c>
      <c r="AI19" s="226" cm="1">
        <f t="array" ref="AI19">SUMPRODUCT(   ((ISBLANK(CapexCategory) + (CapexCategory="Other"))&gt;0) * (AI$4&gt;=CapexMonth)*( AI$4&lt;=SalOff)*DepExp)</f>
        <v>0</v>
      </c>
      <c r="AJ19" s="226" cm="1">
        <f t="array" ref="AJ19">SUMPRODUCT(   ((ISBLANK(CapexCategory) + (CapexCategory="Other"))&gt;0) * (AJ$4&gt;=CapexMonth)*( AJ$4&lt;=SalOff)*DepExp)</f>
        <v>0</v>
      </c>
      <c r="AK19" s="226" cm="1">
        <f t="array" ref="AK19">SUMPRODUCT(   ((ISBLANK(CapexCategory) + (CapexCategory="Other"))&gt;0) * (AK$4&gt;=CapexMonth)*( AK$4&lt;=SalOff)*DepExp)</f>
        <v>0</v>
      </c>
      <c r="AL19" s="226" cm="1">
        <f t="array" ref="AL19">SUMPRODUCT(   ((ISBLANK(CapexCategory) + (CapexCategory="Other"))&gt;0) * (AL$4&gt;=CapexMonth)*( AL$4&lt;=SalOff)*DepExp)</f>
        <v>0</v>
      </c>
      <c r="AM19" s="226" cm="1">
        <f t="array" ref="AM19">SUMPRODUCT(   ((ISBLANK(CapexCategory) + (CapexCategory="Other"))&gt;0) * (AM$4&gt;=CapexMonth)*( AM$4&lt;=SalOff)*DepExp)</f>
        <v>0</v>
      </c>
      <c r="AN19" s="226" cm="1">
        <f t="array" ref="AN19">SUMPRODUCT(   ((ISBLANK(CapexCategory) + (CapexCategory="Other"))&gt;0) * (AN$4&gt;=CapexMonth)*( AN$4&lt;=SalOff)*DepExp)</f>
        <v>0</v>
      </c>
      <c r="AO19" s="226" cm="1">
        <f t="array" ref="AO19">SUMPRODUCT(   ((ISBLANK(CapexCategory) + (CapexCategory="Other"))&gt;0) * (AO$4&gt;=CapexMonth)*( AO$4&lt;=SalOff)*DepExp)</f>
        <v>0</v>
      </c>
      <c r="AP19" s="226" cm="1">
        <f t="array" ref="AP19">SUMPRODUCT(   ((ISBLANK(CapexCategory) + (CapexCategory="Other"))&gt;0) * (AP$4&gt;=CapexMonth)*( AP$4&lt;=SalOff)*DepExp)</f>
        <v>0</v>
      </c>
      <c r="AQ19" s="226" cm="1">
        <f t="array" ref="AQ19">SUMPRODUCT(   ((ISBLANK(CapexCategory) + (CapexCategory="Other"))&gt;0) * (AQ$4&gt;=CapexMonth)*( AQ$4&lt;=SalOff)*DepExp)</f>
        <v>0</v>
      </c>
      <c r="AR19" s="226" cm="1">
        <f t="array" ref="AR19">SUMPRODUCT(   ((ISBLANK(CapexCategory) + (CapexCategory="Other"))&gt;0) * (AR$4&gt;=CapexMonth)*( AR$4&lt;=SalOff)*DepExp)</f>
        <v>0</v>
      </c>
      <c r="AS19" s="226" cm="1">
        <f t="array" ref="AS19">SUMPRODUCT(   ((ISBLANK(CapexCategory) + (CapexCategory="Other"))&gt;0) * (AS$4&gt;=CapexMonth)*( AS$4&lt;=SalOff)*DepExp)</f>
        <v>0</v>
      </c>
      <c r="AT19" s="247" cm="1">
        <f t="array" ref="AT19">SUMPRODUCT(   ((ISBLANK(CapexCategory) + (CapexCategory="Other"))&gt;0) * (AT$4&gt;=CapexMonth)*( AT$4&lt;=SalOff)*DepExp)</f>
        <v>0</v>
      </c>
      <c r="AU19" s="226" cm="1">
        <f t="array" ref="AU19">SUMPRODUCT(   ((ISBLANK(CapexCategory) + (CapexCategory="Other"))&gt;0) * (AU$4&gt;=CapexMonth)*( AU$4&lt;=SalOff)*DepExp)</f>
        <v>0</v>
      </c>
      <c r="AV19" s="226" cm="1">
        <f t="array" ref="AV19">SUMPRODUCT(   ((ISBLANK(CapexCategory) + (CapexCategory="Other"))&gt;0) * (AV$4&gt;=CapexMonth)*( AV$4&lt;=SalOff)*DepExp)</f>
        <v>0</v>
      </c>
      <c r="AW19" s="226" cm="1">
        <f t="array" ref="AW19">SUMPRODUCT(   ((ISBLANK(CapexCategory) + (CapexCategory="Other"))&gt;0) * (AW$4&gt;=CapexMonth)*( AW$4&lt;=SalOff)*DepExp)</f>
        <v>0</v>
      </c>
      <c r="AX19" s="226" cm="1">
        <f t="array" ref="AX19">SUMPRODUCT(   ((ISBLANK(CapexCategory) + (CapexCategory="Other"))&gt;0) * (AX$4&gt;=CapexMonth)*( AX$4&lt;=SalOff)*DepExp)</f>
        <v>0</v>
      </c>
      <c r="AY19" s="226" cm="1">
        <f t="array" ref="AY19">SUMPRODUCT(   ((ISBLANK(CapexCategory) + (CapexCategory="Other"))&gt;0) * (AY$4&gt;=CapexMonth)*( AY$4&lt;=SalOff)*DepExp)</f>
        <v>0</v>
      </c>
      <c r="AZ19" s="226" cm="1">
        <f t="array" ref="AZ19">SUMPRODUCT(   ((ISBLANK(CapexCategory) + (CapexCategory="Other"))&gt;0) * (AZ$4&gt;=CapexMonth)*( AZ$4&lt;=SalOff)*DepExp)</f>
        <v>0</v>
      </c>
      <c r="BA19" s="226" cm="1">
        <f t="array" ref="BA19">SUMPRODUCT(   ((ISBLANK(CapexCategory) + (CapexCategory="Other"))&gt;0) * (BA$4&gt;=CapexMonth)*( BA$4&lt;=SalOff)*DepExp)</f>
        <v>0</v>
      </c>
      <c r="BB19" s="226" cm="1">
        <f t="array" ref="BB19">SUMPRODUCT(   ((ISBLANK(CapexCategory) + (CapexCategory="Other"))&gt;0) * (BB$4&gt;=CapexMonth)*( BB$4&lt;=SalOff)*DepExp)</f>
        <v>0</v>
      </c>
      <c r="BC19" s="226" cm="1">
        <f t="array" ref="BC19">SUMPRODUCT(   ((ISBLANK(CapexCategory) + (CapexCategory="Other"))&gt;0) * (BC$4&gt;=CapexMonth)*( BC$4&lt;=SalOff)*DepExp)</f>
        <v>0</v>
      </c>
      <c r="BD19" s="226" cm="1">
        <f t="array" ref="BD19">SUMPRODUCT(   ((ISBLANK(CapexCategory) + (CapexCategory="Other"))&gt;0) * (BD$4&gt;=CapexMonth)*( BD$4&lt;=SalOff)*DepExp)</f>
        <v>0</v>
      </c>
      <c r="BE19" s="226" cm="1">
        <f t="array" ref="BE19">SUMPRODUCT(   ((ISBLANK(CapexCategory) + (CapexCategory="Other"))&gt;0) * (BE$4&gt;=CapexMonth)*( BE$4&lt;=SalOff)*DepExp)</f>
        <v>0</v>
      </c>
      <c r="BF19" s="247" cm="1">
        <f t="array" ref="BF19">SUMPRODUCT(   ((ISBLANK(CapexCategory) + (CapexCategory="Other"))&gt;0) * (BF$4&gt;=CapexMonth)*( BF$4&lt;=SalOff)*DepExp)</f>
        <v>0</v>
      </c>
      <c r="BG19" s="226" cm="1">
        <f t="array" ref="BG19">SUMPRODUCT(   ((ISBLANK(CapexCategory) + (CapexCategory="Other"))&gt;0) * (BG$4&gt;=CapexMonth)*( BG$4&lt;=SalOff)*DepExp)</f>
        <v>0</v>
      </c>
      <c r="BH19" s="226" cm="1">
        <f t="array" ref="BH19">SUMPRODUCT(   ((ISBLANK(CapexCategory) + (CapexCategory="Other"))&gt;0) * (BH$4&gt;=CapexMonth)*( BH$4&lt;=SalOff)*DepExp)</f>
        <v>0</v>
      </c>
      <c r="BI19" s="226" cm="1">
        <f t="array" ref="BI19">SUMPRODUCT(   ((ISBLANK(CapexCategory) + (CapexCategory="Other"))&gt;0) * (BI$4&gt;=CapexMonth)*( BI$4&lt;=SalOff)*DepExp)</f>
        <v>0</v>
      </c>
      <c r="BJ19" s="226" cm="1">
        <f t="array" ref="BJ19">SUMPRODUCT(   ((ISBLANK(CapexCategory) + (CapexCategory="Other"))&gt;0) * (BJ$4&gt;=CapexMonth)*( BJ$4&lt;=SalOff)*DepExp)</f>
        <v>0</v>
      </c>
      <c r="BK19" s="226" cm="1">
        <f t="array" ref="BK19">SUMPRODUCT(   ((ISBLANK(CapexCategory) + (CapexCategory="Other"))&gt;0) * (BK$4&gt;=CapexMonth)*( BK$4&lt;=SalOff)*DepExp)</f>
        <v>0</v>
      </c>
      <c r="BL19" s="226" cm="1">
        <f t="array" ref="BL19">SUMPRODUCT(   ((ISBLANK(CapexCategory) + (CapexCategory="Other"))&gt;0) * (BL$4&gt;=CapexMonth)*( BL$4&lt;=SalOff)*DepExp)</f>
        <v>0</v>
      </c>
      <c r="BM19" s="226" cm="1">
        <f t="array" ref="BM19">SUMPRODUCT(   ((ISBLANK(CapexCategory) + (CapexCategory="Other"))&gt;0) * (BM$4&gt;=CapexMonth)*( BM$4&lt;=SalOff)*DepExp)</f>
        <v>0</v>
      </c>
      <c r="BN19" s="226" cm="1">
        <f t="array" ref="BN19">SUMPRODUCT(   ((ISBLANK(CapexCategory) + (CapexCategory="Other"))&gt;0) * (BN$4&gt;=CapexMonth)*( BN$4&lt;=SalOff)*DepExp)</f>
        <v>0</v>
      </c>
      <c r="BO19" s="226" cm="1">
        <f t="array" ref="BO19">SUMPRODUCT(   ((ISBLANK(CapexCategory) + (CapexCategory="Other"))&gt;0) * (BO$4&gt;=CapexMonth)*( BO$4&lt;=SalOff)*DepExp)</f>
        <v>0</v>
      </c>
      <c r="BP19" s="226" cm="1">
        <f t="array" ref="BP19">SUMPRODUCT(   ((ISBLANK(CapexCategory) + (CapexCategory="Other"))&gt;0) * (BP$4&gt;=CapexMonth)*( BP$4&lt;=SalOff)*DepExp)</f>
        <v>0</v>
      </c>
      <c r="BQ19" s="226" cm="1">
        <f t="array" ref="BQ19">SUMPRODUCT(   ((ISBLANK(CapexCategory) + (CapexCategory="Other"))&gt;0) * (BQ$4&gt;=CapexMonth)*( BQ$4&lt;=SalOff)*DepExp)</f>
        <v>0</v>
      </c>
      <c r="BR19" s="247" cm="1">
        <f t="array" ref="BR19">SUMPRODUCT(   ((ISBLANK(CapexCategory) + (CapexCategory="Other"))&gt;0) * (BR$4&gt;=CapexMonth)*( BR$4&lt;=SalOff)*DepExp)</f>
        <v>0</v>
      </c>
    </row>
    <row r="20" spans="1:70" s="175" customFormat="1" ht="13.2" x14ac:dyDescent="0.3">
      <c r="A20" s="40"/>
      <c r="B20" s="13"/>
      <c r="C20" s="266" t="s">
        <v>178</v>
      </c>
      <c r="D20" s="199"/>
      <c r="E20" s="222">
        <f t="shared" si="11"/>
        <v>89.999999999999986</v>
      </c>
      <c r="F20" s="222">
        <f t="shared" si="12"/>
        <v>0</v>
      </c>
      <c r="G20" s="222">
        <f t="shared" si="13"/>
        <v>0</v>
      </c>
      <c r="H20" s="222">
        <f t="shared" si="14"/>
        <v>0</v>
      </c>
      <c r="I20" s="222">
        <f t="shared" si="15"/>
        <v>0</v>
      </c>
      <c r="J20" s="264"/>
      <c r="K20" s="223">
        <f>SUM(K14:K19)</f>
        <v>4</v>
      </c>
      <c r="L20" s="223">
        <f t="shared" ref="L20:BR20" si="16">SUM(L14:L19)</f>
        <v>4</v>
      </c>
      <c r="M20" s="223">
        <f t="shared" si="16"/>
        <v>4</v>
      </c>
      <c r="N20" s="223">
        <f t="shared" si="16"/>
        <v>4</v>
      </c>
      <c r="O20" s="223">
        <f t="shared" si="16"/>
        <v>4</v>
      </c>
      <c r="P20" s="223">
        <f t="shared" si="16"/>
        <v>11.142857142857142</v>
      </c>
      <c r="Q20" s="223">
        <f t="shared" si="16"/>
        <v>11.142857142857142</v>
      </c>
      <c r="R20" s="223">
        <f t="shared" si="16"/>
        <v>11.142857142857142</v>
      </c>
      <c r="S20" s="223">
        <f t="shared" si="16"/>
        <v>11.142857142857142</v>
      </c>
      <c r="T20" s="223">
        <f t="shared" si="16"/>
        <v>11.142857142857142</v>
      </c>
      <c r="U20" s="223">
        <f t="shared" si="16"/>
        <v>7.1428571428571432</v>
      </c>
      <c r="V20" s="222">
        <f t="shared" si="16"/>
        <v>7.1428571428571432</v>
      </c>
      <c r="W20" s="223">
        <f t="shared" si="16"/>
        <v>0</v>
      </c>
      <c r="X20" s="223">
        <f t="shared" si="16"/>
        <v>0</v>
      </c>
      <c r="Y20" s="223">
        <f t="shared" si="16"/>
        <v>0</v>
      </c>
      <c r="Z20" s="223">
        <f t="shared" si="16"/>
        <v>0</v>
      </c>
      <c r="AA20" s="223">
        <f t="shared" si="16"/>
        <v>0</v>
      </c>
      <c r="AB20" s="223">
        <f t="shared" si="16"/>
        <v>0</v>
      </c>
      <c r="AC20" s="223">
        <f t="shared" si="16"/>
        <v>0</v>
      </c>
      <c r="AD20" s="223">
        <f t="shared" si="16"/>
        <v>0</v>
      </c>
      <c r="AE20" s="223">
        <f t="shared" si="16"/>
        <v>0</v>
      </c>
      <c r="AF20" s="223">
        <f t="shared" si="16"/>
        <v>0</v>
      </c>
      <c r="AG20" s="223">
        <f t="shared" si="16"/>
        <v>0</v>
      </c>
      <c r="AH20" s="222">
        <f t="shared" si="16"/>
        <v>0</v>
      </c>
      <c r="AI20" s="223">
        <f t="shared" si="16"/>
        <v>0</v>
      </c>
      <c r="AJ20" s="223">
        <f t="shared" si="16"/>
        <v>0</v>
      </c>
      <c r="AK20" s="223">
        <f t="shared" si="16"/>
        <v>0</v>
      </c>
      <c r="AL20" s="223">
        <f t="shared" si="16"/>
        <v>0</v>
      </c>
      <c r="AM20" s="223">
        <f t="shared" si="16"/>
        <v>0</v>
      </c>
      <c r="AN20" s="223">
        <f t="shared" si="16"/>
        <v>0</v>
      </c>
      <c r="AO20" s="223">
        <f t="shared" si="16"/>
        <v>0</v>
      </c>
      <c r="AP20" s="223">
        <f t="shared" si="16"/>
        <v>0</v>
      </c>
      <c r="AQ20" s="223">
        <f t="shared" si="16"/>
        <v>0</v>
      </c>
      <c r="AR20" s="223">
        <f t="shared" si="16"/>
        <v>0</v>
      </c>
      <c r="AS20" s="223">
        <f t="shared" si="16"/>
        <v>0</v>
      </c>
      <c r="AT20" s="222">
        <f t="shared" si="16"/>
        <v>0</v>
      </c>
      <c r="AU20" s="223">
        <f t="shared" si="16"/>
        <v>0</v>
      </c>
      <c r="AV20" s="223">
        <f t="shared" si="16"/>
        <v>0</v>
      </c>
      <c r="AW20" s="223">
        <f t="shared" si="16"/>
        <v>0</v>
      </c>
      <c r="AX20" s="223">
        <f t="shared" si="16"/>
        <v>0</v>
      </c>
      <c r="AY20" s="223">
        <f t="shared" si="16"/>
        <v>0</v>
      </c>
      <c r="AZ20" s="223">
        <f t="shared" si="16"/>
        <v>0</v>
      </c>
      <c r="BA20" s="223">
        <f t="shared" si="16"/>
        <v>0</v>
      </c>
      <c r="BB20" s="223">
        <f t="shared" si="16"/>
        <v>0</v>
      </c>
      <c r="BC20" s="223">
        <f t="shared" si="16"/>
        <v>0</v>
      </c>
      <c r="BD20" s="223">
        <f t="shared" si="16"/>
        <v>0</v>
      </c>
      <c r="BE20" s="223">
        <f t="shared" si="16"/>
        <v>0</v>
      </c>
      <c r="BF20" s="222">
        <f t="shared" si="16"/>
        <v>0</v>
      </c>
      <c r="BG20" s="223">
        <f t="shared" si="16"/>
        <v>0</v>
      </c>
      <c r="BH20" s="223">
        <f t="shared" si="16"/>
        <v>0</v>
      </c>
      <c r="BI20" s="223">
        <f t="shared" si="16"/>
        <v>0</v>
      </c>
      <c r="BJ20" s="223">
        <f t="shared" si="16"/>
        <v>0</v>
      </c>
      <c r="BK20" s="223">
        <f t="shared" si="16"/>
        <v>0</v>
      </c>
      <c r="BL20" s="223">
        <f t="shared" si="16"/>
        <v>0</v>
      </c>
      <c r="BM20" s="223">
        <f t="shared" si="16"/>
        <v>0</v>
      </c>
      <c r="BN20" s="223">
        <f t="shared" si="16"/>
        <v>0</v>
      </c>
      <c r="BO20" s="223">
        <f t="shared" si="16"/>
        <v>0</v>
      </c>
      <c r="BP20" s="223">
        <f t="shared" si="16"/>
        <v>0</v>
      </c>
      <c r="BQ20" s="223">
        <f t="shared" si="16"/>
        <v>0</v>
      </c>
      <c r="BR20" s="222">
        <f t="shared" si="16"/>
        <v>0</v>
      </c>
    </row>
    <row r="21" spans="1:70" ht="13.2" hidden="1" x14ac:dyDescent="0.3">
      <c r="E21" s="248"/>
      <c r="F21" s="248"/>
      <c r="G21" s="248"/>
      <c r="H21" s="248"/>
      <c r="I21" s="248"/>
      <c r="J21" s="264"/>
      <c r="K21" s="248"/>
      <c r="L21" s="248"/>
      <c r="M21" s="248"/>
      <c r="N21" s="248"/>
      <c r="O21" s="248"/>
      <c r="P21" s="248"/>
      <c r="Q21" s="248"/>
      <c r="R21" s="248"/>
      <c r="S21" s="248"/>
      <c r="T21" s="248"/>
      <c r="U21" s="248"/>
      <c r="V21" s="248"/>
      <c r="W21" s="248"/>
      <c r="X21" s="248"/>
      <c r="Y21" s="248"/>
      <c r="Z21" s="248"/>
      <c r="AA21" s="248"/>
      <c r="AB21" s="248"/>
      <c r="AC21" s="248"/>
      <c r="AD21" s="248"/>
      <c r="AE21" s="248"/>
      <c r="AF21" s="248"/>
      <c r="AG21" s="248"/>
      <c r="AH21" s="248"/>
      <c r="AI21" s="248"/>
      <c r="AJ21" s="248"/>
      <c r="AK21" s="248"/>
      <c r="AL21" s="248"/>
      <c r="AM21" s="248"/>
      <c r="AN21" s="248"/>
      <c r="AO21" s="248"/>
      <c r="AP21" s="248"/>
      <c r="AQ21" s="248"/>
      <c r="AR21" s="248"/>
      <c r="AS21" s="248"/>
      <c r="AT21" s="248"/>
      <c r="AU21" s="248"/>
      <c r="AV21" s="248"/>
      <c r="AW21" s="248"/>
      <c r="AX21" s="248"/>
      <c r="AY21" s="248"/>
      <c r="AZ21" s="248"/>
      <c r="BA21" s="248"/>
      <c r="BB21" s="248"/>
      <c r="BC21" s="248"/>
      <c r="BD21" s="248"/>
      <c r="BE21" s="248"/>
      <c r="BF21" s="248"/>
      <c r="BG21" s="248"/>
      <c r="BH21" s="248"/>
      <c r="BI21" s="248"/>
      <c r="BJ21" s="248"/>
      <c r="BK21" s="248"/>
      <c r="BL21" s="248"/>
      <c r="BM21" s="248"/>
      <c r="BN21" s="248"/>
      <c r="BO21" s="248"/>
      <c r="BP21" s="248"/>
      <c r="BQ21" s="248"/>
      <c r="BR21" s="248"/>
    </row>
    <row r="22" spans="1:70" ht="13.2" hidden="1" x14ac:dyDescent="0.3">
      <c r="C22" s="185" t="s">
        <v>219</v>
      </c>
      <c r="D22" s="14"/>
      <c r="E22" s="263">
        <f t="shared" ref="E22:E25" si="17">V22</f>
        <v>0</v>
      </c>
      <c r="F22" s="263">
        <f t="shared" ref="F22:F25" si="18">AH22</f>
        <v>0</v>
      </c>
      <c r="G22" s="263">
        <f t="shared" ref="G22:G25" si="19">AT22</f>
        <v>0</v>
      </c>
      <c r="H22" s="263">
        <f t="shared" ref="H22:H25" si="20">BF22</f>
        <v>0</v>
      </c>
      <c r="I22" s="263">
        <f t="shared" ref="I22:I25" si="21">BR22</f>
        <v>0</v>
      </c>
      <c r="J22" s="264"/>
      <c r="K22" s="265" cm="1">
        <f t="array" ref="K22">SUMPRODUCT( (CapexCategory=$C22)*(K$4&gt;=CapexMonth) * (K$4&lt;=DepStop)* ((K$4-CapexMonth+1)*-DepExp) )</f>
        <v>0</v>
      </c>
      <c r="L22" s="265" cm="1">
        <f t="array" ref="L22">SUMPRODUCT( (CapexCategory=$C22)*(L$4&gt;=CapexMonth) * (L$4&lt;=DepStop)* ((L$4-CapexMonth+1)*-DepExp) )</f>
        <v>0</v>
      </c>
      <c r="M22" s="265" cm="1">
        <f t="array" ref="M22">SUMPRODUCT( (CapexCategory=$C22)*(M$4&gt;=CapexMonth) * (M$4&lt;=DepStop)* ((M$4-CapexMonth+1)*-DepExp) )</f>
        <v>0</v>
      </c>
      <c r="N22" s="265" cm="1">
        <f t="array" ref="N22">SUMPRODUCT( (CapexCategory=$C22)*(N$4&gt;=CapexMonth) * (N$4&lt;=DepStop)* ((N$4-CapexMonth+1)*-DepExp) )</f>
        <v>0</v>
      </c>
      <c r="O22" s="265" cm="1">
        <f t="array" ref="O22">SUMPRODUCT( (CapexCategory=$C22)*(O$4&gt;=CapexMonth) * (O$4&lt;=DepStop)* ((O$4-CapexMonth+1)*-DepExp) )</f>
        <v>0</v>
      </c>
      <c r="P22" s="265" cm="1">
        <f t="array" ref="P22">SUMPRODUCT( (CapexCategory=$C22)*(P$4&gt;=CapexMonth) * (P$4&lt;=DepStop)* ((P$4-CapexMonth+1)*-DepExp) )</f>
        <v>0</v>
      </c>
      <c r="Q22" s="265" cm="1">
        <f t="array" ref="Q22">SUMPRODUCT( (CapexCategory=$C22)*(Q$4&gt;=CapexMonth) * (Q$4&lt;=DepStop)* ((Q$4-CapexMonth+1)*-DepExp) )</f>
        <v>0</v>
      </c>
      <c r="R22" s="265" cm="1">
        <f t="array" ref="R22">SUMPRODUCT( (CapexCategory=$C22)*(R$4&gt;=CapexMonth) * (R$4&lt;=DepStop)* ((R$4-CapexMonth+1)*-DepExp) )</f>
        <v>0</v>
      </c>
      <c r="S22" s="265" cm="1">
        <f t="array" ref="S22">SUMPRODUCT( (CapexCategory=$C22)*(S$4&gt;=CapexMonth) * (S$4&lt;=DepStop)* ((S$4-CapexMonth+1)*-DepExp) )</f>
        <v>0</v>
      </c>
      <c r="T22" s="265" cm="1">
        <f t="array" ref="T22">SUMPRODUCT( (CapexCategory=$C22)*(T$4&gt;=CapexMonth) * (T$4&lt;=DepStop)* ((T$4-CapexMonth+1)*-DepExp) )</f>
        <v>0</v>
      </c>
      <c r="U22" s="265" cm="1">
        <f t="array" ref="U22">SUMPRODUCT( (CapexCategory=$C22)*(U$4&gt;=CapexMonth) * (U$4&lt;=DepStop)* ((U$4-CapexMonth+1)*-DepExp) )</f>
        <v>0</v>
      </c>
      <c r="V22" s="263" cm="1">
        <f t="array" ref="V22">SUMPRODUCT( (CapexCategory=$C22)*(V$4&gt;=CapexMonth) * (V$4&lt;=DepStop)* ((V$4-CapexMonth+1)*-DepExp) )</f>
        <v>0</v>
      </c>
      <c r="W22" s="265" cm="1">
        <f t="array" ref="W22">SUMPRODUCT( (CapexCategory=$C22)*(W$4&gt;=CapexMonth) * (W$4&lt;=DepStop)* ((W$4-CapexMonth+1)*-DepExp) )</f>
        <v>0</v>
      </c>
      <c r="X22" s="265" cm="1">
        <f t="array" ref="X22">SUMPRODUCT( (CapexCategory=$C22)*(X$4&gt;=CapexMonth) * (X$4&lt;=DepStop)* ((X$4-CapexMonth+1)*-DepExp) )</f>
        <v>0</v>
      </c>
      <c r="Y22" s="265" cm="1">
        <f t="array" ref="Y22">SUMPRODUCT( (CapexCategory=$C22)*(Y$4&gt;=CapexMonth) * (Y$4&lt;=DepStop)* ((Y$4-CapexMonth+1)*-DepExp) )</f>
        <v>0</v>
      </c>
      <c r="Z22" s="265" cm="1">
        <f t="array" ref="Z22">SUMPRODUCT( (CapexCategory=$C22)*(Z$4&gt;=CapexMonth) * (Z$4&lt;=DepStop)* ((Z$4-CapexMonth+1)*-DepExp) )</f>
        <v>0</v>
      </c>
      <c r="AA22" s="265" cm="1">
        <f t="array" ref="AA22">SUMPRODUCT( (CapexCategory=$C22)*(AA$4&gt;=CapexMonth) * (AA$4&lt;=DepStop)* ((AA$4-CapexMonth+1)*-DepExp) )</f>
        <v>0</v>
      </c>
      <c r="AB22" s="265" cm="1">
        <f t="array" ref="AB22">SUMPRODUCT( (CapexCategory=$C22)*(AB$4&gt;=CapexMonth) * (AB$4&lt;=DepStop)* ((AB$4-CapexMonth+1)*-DepExp) )</f>
        <v>0</v>
      </c>
      <c r="AC22" s="265" cm="1">
        <f t="array" ref="AC22">SUMPRODUCT( (CapexCategory=$C22)*(AC$4&gt;=CapexMonth) * (AC$4&lt;=DepStop)* ((AC$4-CapexMonth+1)*-DepExp) )</f>
        <v>0</v>
      </c>
      <c r="AD22" s="265" cm="1">
        <f t="array" ref="AD22">SUMPRODUCT( (CapexCategory=$C22)*(AD$4&gt;=CapexMonth) * (AD$4&lt;=DepStop)* ((AD$4-CapexMonth+1)*-DepExp) )</f>
        <v>0</v>
      </c>
      <c r="AE22" s="265" cm="1">
        <f t="array" ref="AE22">SUMPRODUCT( (CapexCategory=$C22)*(AE$4&gt;=CapexMonth) * (AE$4&lt;=DepStop)* ((AE$4-CapexMonth+1)*-DepExp) )</f>
        <v>0</v>
      </c>
      <c r="AF22" s="265" cm="1">
        <f t="array" ref="AF22">SUMPRODUCT( (CapexCategory=$C22)*(AF$4&gt;=CapexMonth) * (AF$4&lt;=DepStop)* ((AF$4-CapexMonth+1)*-DepExp) )</f>
        <v>0</v>
      </c>
      <c r="AG22" s="265" cm="1">
        <f t="array" ref="AG22">SUMPRODUCT( (CapexCategory=$C22)*(AG$4&gt;=CapexMonth) * (AG$4&lt;=DepStop)* ((AG$4-CapexMonth+1)*-DepExp) )</f>
        <v>0</v>
      </c>
      <c r="AH22" s="263" cm="1">
        <f t="array" ref="AH22">SUMPRODUCT( (CapexCategory=$C22)*(AH$4&gt;=CapexMonth) * (AH$4&lt;=DepStop)* ((AH$4-CapexMonth+1)*-DepExp) )</f>
        <v>0</v>
      </c>
      <c r="AI22" s="265" cm="1">
        <f t="array" ref="AI22">SUMPRODUCT( (CapexCategory=$C22)*(AI$4&gt;=CapexMonth) * (AI$4&lt;=DepStop)* ((AI$4-CapexMonth+1)*-DepExp) )</f>
        <v>0</v>
      </c>
      <c r="AJ22" s="265" cm="1">
        <f t="array" ref="AJ22">SUMPRODUCT( (CapexCategory=$C22)*(AJ$4&gt;=CapexMonth) * (AJ$4&lt;=DepStop)* ((AJ$4-CapexMonth+1)*-DepExp) )</f>
        <v>0</v>
      </c>
      <c r="AK22" s="265" cm="1">
        <f t="array" ref="AK22">SUMPRODUCT( (CapexCategory=$C22)*(AK$4&gt;=CapexMonth) * (AK$4&lt;=DepStop)* ((AK$4-CapexMonth+1)*-DepExp) )</f>
        <v>0</v>
      </c>
      <c r="AL22" s="265" cm="1">
        <f t="array" ref="AL22">SUMPRODUCT( (CapexCategory=$C22)*(AL$4&gt;=CapexMonth) * (AL$4&lt;=DepStop)* ((AL$4-CapexMonth+1)*-DepExp) )</f>
        <v>0</v>
      </c>
      <c r="AM22" s="265" cm="1">
        <f t="array" ref="AM22">SUMPRODUCT( (CapexCategory=$C22)*(AM$4&gt;=CapexMonth) * (AM$4&lt;=DepStop)* ((AM$4-CapexMonth+1)*-DepExp) )</f>
        <v>0</v>
      </c>
      <c r="AN22" s="265" cm="1">
        <f t="array" ref="AN22">SUMPRODUCT( (CapexCategory=$C22)*(AN$4&gt;=CapexMonth) * (AN$4&lt;=DepStop)* ((AN$4-CapexMonth+1)*-DepExp) )</f>
        <v>0</v>
      </c>
      <c r="AO22" s="265" cm="1">
        <f t="array" ref="AO22">SUMPRODUCT( (CapexCategory=$C22)*(AO$4&gt;=CapexMonth) * (AO$4&lt;=DepStop)* ((AO$4-CapexMonth+1)*-DepExp) )</f>
        <v>0</v>
      </c>
      <c r="AP22" s="265" cm="1">
        <f t="array" ref="AP22">SUMPRODUCT( (CapexCategory=$C22)*(AP$4&gt;=CapexMonth) * (AP$4&lt;=DepStop)* ((AP$4-CapexMonth+1)*-DepExp) )</f>
        <v>0</v>
      </c>
      <c r="AQ22" s="265" cm="1">
        <f t="array" ref="AQ22">SUMPRODUCT( (CapexCategory=$C22)*(AQ$4&gt;=CapexMonth) * (AQ$4&lt;=DepStop)* ((AQ$4-CapexMonth+1)*-DepExp) )</f>
        <v>0</v>
      </c>
      <c r="AR22" s="265" cm="1">
        <f t="array" ref="AR22">SUMPRODUCT( (CapexCategory=$C22)*(AR$4&gt;=CapexMonth) * (AR$4&lt;=DepStop)* ((AR$4-CapexMonth+1)*-DepExp) )</f>
        <v>0</v>
      </c>
      <c r="AS22" s="265" cm="1">
        <f t="array" ref="AS22">SUMPRODUCT( (CapexCategory=$C22)*(AS$4&gt;=CapexMonth) * (AS$4&lt;=DepStop)* ((AS$4-CapexMonth+1)*-DepExp) )</f>
        <v>0</v>
      </c>
      <c r="AT22" s="263" cm="1">
        <f t="array" ref="AT22">SUMPRODUCT( (CapexCategory=$C22)*(AT$4&gt;=CapexMonth) * (AT$4&lt;=DepStop)* ((AT$4-CapexMonth+1)*-DepExp) )</f>
        <v>0</v>
      </c>
      <c r="AU22" s="265" cm="1">
        <f t="array" ref="AU22">SUMPRODUCT( (CapexCategory=$C22)*(AU$4&gt;=CapexMonth) * (AU$4&lt;=DepStop)* ((AU$4-CapexMonth+1)*-DepExp) )</f>
        <v>0</v>
      </c>
      <c r="AV22" s="265" cm="1">
        <f t="array" ref="AV22">SUMPRODUCT( (CapexCategory=$C22)*(AV$4&gt;=CapexMonth) * (AV$4&lt;=DepStop)* ((AV$4-CapexMonth+1)*-DepExp) )</f>
        <v>0</v>
      </c>
      <c r="AW22" s="265" cm="1">
        <f t="array" ref="AW22">SUMPRODUCT( (CapexCategory=$C22)*(AW$4&gt;=CapexMonth) * (AW$4&lt;=DepStop)* ((AW$4-CapexMonth+1)*-DepExp) )</f>
        <v>0</v>
      </c>
      <c r="AX22" s="265" cm="1">
        <f t="array" ref="AX22">SUMPRODUCT( (CapexCategory=$C22)*(AX$4&gt;=CapexMonth) * (AX$4&lt;=DepStop)* ((AX$4-CapexMonth+1)*-DepExp) )</f>
        <v>0</v>
      </c>
      <c r="AY22" s="265" cm="1">
        <f t="array" ref="AY22">SUMPRODUCT( (CapexCategory=$C22)*(AY$4&gt;=CapexMonth) * (AY$4&lt;=DepStop)* ((AY$4-CapexMonth+1)*-DepExp) )</f>
        <v>0</v>
      </c>
      <c r="AZ22" s="265" cm="1">
        <f t="array" ref="AZ22">SUMPRODUCT( (CapexCategory=$C22)*(AZ$4&gt;=CapexMonth) * (AZ$4&lt;=DepStop)* ((AZ$4-CapexMonth+1)*-DepExp) )</f>
        <v>0</v>
      </c>
      <c r="BA22" s="265" cm="1">
        <f t="array" ref="BA22">SUMPRODUCT( (CapexCategory=$C22)*(BA$4&gt;=CapexMonth) * (BA$4&lt;=DepStop)* ((BA$4-CapexMonth+1)*-DepExp) )</f>
        <v>0</v>
      </c>
      <c r="BB22" s="265" cm="1">
        <f t="array" ref="BB22">SUMPRODUCT( (CapexCategory=$C22)*(BB$4&gt;=CapexMonth) * (BB$4&lt;=DepStop)* ((BB$4-CapexMonth+1)*-DepExp) )</f>
        <v>0</v>
      </c>
      <c r="BC22" s="265" cm="1">
        <f t="array" ref="BC22">SUMPRODUCT( (CapexCategory=$C22)*(BC$4&gt;=CapexMonth) * (BC$4&lt;=DepStop)* ((BC$4-CapexMonth+1)*-DepExp) )</f>
        <v>0</v>
      </c>
      <c r="BD22" s="265" cm="1">
        <f t="array" ref="BD22">SUMPRODUCT( (CapexCategory=$C22)*(BD$4&gt;=CapexMonth) * (BD$4&lt;=DepStop)* ((BD$4-CapexMonth+1)*-DepExp) )</f>
        <v>0</v>
      </c>
      <c r="BE22" s="265" cm="1">
        <f t="array" ref="BE22">SUMPRODUCT( (CapexCategory=$C22)*(BE$4&gt;=CapexMonth) * (BE$4&lt;=DepStop)* ((BE$4-CapexMonth+1)*-DepExp) )</f>
        <v>0</v>
      </c>
      <c r="BF22" s="263" cm="1">
        <f t="array" ref="BF22">SUMPRODUCT( (CapexCategory=$C22)*(BF$4&gt;=CapexMonth) * (BF$4&lt;=DepStop)* ((BF$4-CapexMonth+1)*-DepExp) )</f>
        <v>0</v>
      </c>
      <c r="BG22" s="265" cm="1">
        <f t="array" ref="BG22">SUMPRODUCT( (CapexCategory=$C22)*(BG$4&gt;=CapexMonth) * (BG$4&lt;=DepStop)* ((BG$4-CapexMonth+1)*-DepExp) )</f>
        <v>0</v>
      </c>
      <c r="BH22" s="265" cm="1">
        <f t="array" ref="BH22">SUMPRODUCT( (CapexCategory=$C22)*(BH$4&gt;=CapexMonth) * (BH$4&lt;=DepStop)* ((BH$4-CapexMonth+1)*-DepExp) )</f>
        <v>0</v>
      </c>
      <c r="BI22" s="265" cm="1">
        <f t="array" ref="BI22">SUMPRODUCT( (CapexCategory=$C22)*(BI$4&gt;=CapexMonth) * (BI$4&lt;=DepStop)* ((BI$4-CapexMonth+1)*-DepExp) )</f>
        <v>0</v>
      </c>
      <c r="BJ22" s="265" cm="1">
        <f t="array" ref="BJ22">SUMPRODUCT( (CapexCategory=$C22)*(BJ$4&gt;=CapexMonth) * (BJ$4&lt;=DepStop)* ((BJ$4-CapexMonth+1)*-DepExp) )</f>
        <v>0</v>
      </c>
      <c r="BK22" s="265" cm="1">
        <f t="array" ref="BK22">SUMPRODUCT( (CapexCategory=$C22)*(BK$4&gt;=CapexMonth) * (BK$4&lt;=DepStop)* ((BK$4-CapexMonth+1)*-DepExp) )</f>
        <v>0</v>
      </c>
      <c r="BL22" s="265" cm="1">
        <f t="array" ref="BL22">SUMPRODUCT( (CapexCategory=$C22)*(BL$4&gt;=CapexMonth) * (BL$4&lt;=DepStop)* ((BL$4-CapexMonth+1)*-DepExp) )</f>
        <v>0</v>
      </c>
      <c r="BM22" s="265" cm="1">
        <f t="array" ref="BM22">SUMPRODUCT( (CapexCategory=$C22)*(BM$4&gt;=CapexMonth) * (BM$4&lt;=DepStop)* ((BM$4-CapexMonth+1)*-DepExp) )</f>
        <v>0</v>
      </c>
      <c r="BN22" s="265" cm="1">
        <f t="array" ref="BN22">SUMPRODUCT( (CapexCategory=$C22)*(BN$4&gt;=CapexMonth) * (BN$4&lt;=DepStop)* ((BN$4-CapexMonth+1)*-DepExp) )</f>
        <v>0</v>
      </c>
      <c r="BO22" s="265" cm="1">
        <f t="array" ref="BO22">SUMPRODUCT( (CapexCategory=$C22)*(BO$4&gt;=CapexMonth) * (BO$4&lt;=DepStop)* ((BO$4-CapexMonth+1)*-DepExp) )</f>
        <v>0</v>
      </c>
      <c r="BP22" s="265" cm="1">
        <f t="array" ref="BP22">SUMPRODUCT( (CapexCategory=$C22)*(BP$4&gt;=CapexMonth) * (BP$4&lt;=DepStop)* ((BP$4-CapexMonth+1)*-DepExp) )</f>
        <v>0</v>
      </c>
      <c r="BQ22" s="265" cm="1">
        <f t="array" ref="BQ22">SUMPRODUCT( (CapexCategory=$C22)*(BQ$4&gt;=CapexMonth) * (BQ$4&lt;=DepStop)* ((BQ$4-CapexMonth+1)*-DepExp) )</f>
        <v>0</v>
      </c>
      <c r="BR22" s="263" cm="1">
        <f t="array" ref="BR22">SUMPRODUCT( (CapexCategory=$C22)*(BR$4&gt;=CapexMonth) * (BR$4&lt;=DepStop)* ((BR$4-CapexMonth+1)*-DepExp) )</f>
        <v>0</v>
      </c>
    </row>
    <row r="23" spans="1:70" ht="13.2" hidden="1" x14ac:dyDescent="0.3">
      <c r="C23" s="185" t="s">
        <v>220</v>
      </c>
      <c r="D23" s="14"/>
      <c r="E23" s="263">
        <f t="shared" si="17"/>
        <v>0</v>
      </c>
      <c r="F23" s="263">
        <f t="shared" si="18"/>
        <v>0</v>
      </c>
      <c r="G23" s="263">
        <f t="shared" si="19"/>
        <v>0</v>
      </c>
      <c r="H23" s="263">
        <f t="shared" si="20"/>
        <v>0</v>
      </c>
      <c r="I23" s="263">
        <f t="shared" si="21"/>
        <v>0</v>
      </c>
      <c r="J23" s="264"/>
      <c r="K23" s="265" cm="1">
        <f t="array" ref="K23">SUMPRODUCT( (CapexCategory=$C23)*(K$4&gt;=CapexMonth) * (K$4&lt;=DepStop)* ((K$4-CapexMonth+1)*-DepExp) )</f>
        <v>-4</v>
      </c>
      <c r="L23" s="265" cm="1">
        <f t="array" ref="L23">SUMPRODUCT( (CapexCategory=$C23)*(L$4&gt;=CapexMonth) * (L$4&lt;=DepStop)* ((L$4-CapexMonth+1)*-DepExp) )</f>
        <v>-8</v>
      </c>
      <c r="M23" s="265" cm="1">
        <f t="array" ref="M23">SUMPRODUCT( (CapexCategory=$C23)*(M$4&gt;=CapexMonth) * (M$4&lt;=DepStop)* ((M$4-CapexMonth+1)*-DepExp) )</f>
        <v>-12</v>
      </c>
      <c r="N23" s="265" cm="1">
        <f t="array" ref="N23">SUMPRODUCT( (CapexCategory=$C23)*(N$4&gt;=CapexMonth) * (N$4&lt;=DepStop)* ((N$4-CapexMonth+1)*-DepExp) )</f>
        <v>-16</v>
      </c>
      <c r="O23" s="265" cm="1">
        <f t="array" ref="O23">SUMPRODUCT( (CapexCategory=$C23)*(O$4&gt;=CapexMonth) * (O$4&lt;=DepStop)* ((O$4-CapexMonth+1)*-DepExp) )</f>
        <v>-20</v>
      </c>
      <c r="P23" s="265" cm="1">
        <f t="array" ref="P23">SUMPRODUCT( (CapexCategory=$C23)*(P$4&gt;=CapexMonth) * (P$4&lt;=DepStop)* ((P$4-CapexMonth+1)*-DepExp) )</f>
        <v>-24</v>
      </c>
      <c r="Q23" s="265" cm="1">
        <f t="array" ref="Q23">SUMPRODUCT( (CapexCategory=$C23)*(Q$4&gt;=CapexMonth) * (Q$4&lt;=DepStop)* ((Q$4-CapexMonth+1)*-DepExp) )</f>
        <v>-28</v>
      </c>
      <c r="R23" s="265" cm="1">
        <f t="array" ref="R23">SUMPRODUCT( (CapexCategory=$C23)*(R$4&gt;=CapexMonth) * (R$4&lt;=DepStop)* ((R$4-CapexMonth+1)*-DepExp) )</f>
        <v>-32</v>
      </c>
      <c r="S23" s="265" cm="1">
        <f t="array" ref="S23">SUMPRODUCT( (CapexCategory=$C23)*(S$4&gt;=CapexMonth) * (S$4&lt;=DepStop)* ((S$4-CapexMonth+1)*-DepExp) )</f>
        <v>-36</v>
      </c>
      <c r="T23" s="265" cm="1">
        <f t="array" ref="T23">SUMPRODUCT( (CapexCategory=$C23)*(T$4&gt;=CapexMonth) * (T$4&lt;=DepStop)* ((T$4-CapexMonth+1)*-DepExp) )</f>
        <v>-40</v>
      </c>
      <c r="U23" s="265" cm="1">
        <f t="array" ref="U23">SUMPRODUCT( (CapexCategory=$C23)*(U$4&gt;=CapexMonth) * (U$4&lt;=DepStop)* ((U$4-CapexMonth+1)*-DepExp) )</f>
        <v>0</v>
      </c>
      <c r="V23" s="263" cm="1">
        <f t="array" ref="V23">SUMPRODUCT( (CapexCategory=$C23)*(V$4&gt;=CapexMonth) * (V$4&lt;=DepStop)* ((V$4-CapexMonth+1)*-DepExp) )</f>
        <v>0</v>
      </c>
      <c r="W23" s="265" cm="1">
        <f t="array" ref="W23">SUMPRODUCT( (CapexCategory=$C23)*(W$4&gt;=CapexMonth) * (W$4&lt;=DepStop)* ((W$4-CapexMonth+1)*-DepExp) )</f>
        <v>0</v>
      </c>
      <c r="X23" s="265" cm="1">
        <f t="array" ref="X23">SUMPRODUCT( (CapexCategory=$C23)*(X$4&gt;=CapexMonth) * (X$4&lt;=DepStop)* ((X$4-CapexMonth+1)*-DepExp) )</f>
        <v>0</v>
      </c>
      <c r="Y23" s="265" cm="1">
        <f t="array" ref="Y23">SUMPRODUCT( (CapexCategory=$C23)*(Y$4&gt;=CapexMonth) * (Y$4&lt;=DepStop)* ((Y$4-CapexMonth+1)*-DepExp) )</f>
        <v>0</v>
      </c>
      <c r="Z23" s="265" cm="1">
        <f t="array" ref="Z23">SUMPRODUCT( (CapexCategory=$C23)*(Z$4&gt;=CapexMonth) * (Z$4&lt;=DepStop)* ((Z$4-CapexMonth+1)*-DepExp) )</f>
        <v>0</v>
      </c>
      <c r="AA23" s="265" cm="1">
        <f t="array" ref="AA23">SUMPRODUCT( (CapexCategory=$C23)*(AA$4&gt;=CapexMonth) * (AA$4&lt;=DepStop)* ((AA$4-CapexMonth+1)*-DepExp) )</f>
        <v>0</v>
      </c>
      <c r="AB23" s="265" cm="1">
        <f t="array" ref="AB23">SUMPRODUCT( (CapexCategory=$C23)*(AB$4&gt;=CapexMonth) * (AB$4&lt;=DepStop)* ((AB$4-CapexMonth+1)*-DepExp) )</f>
        <v>0</v>
      </c>
      <c r="AC23" s="265" cm="1">
        <f t="array" ref="AC23">SUMPRODUCT( (CapexCategory=$C23)*(AC$4&gt;=CapexMonth) * (AC$4&lt;=DepStop)* ((AC$4-CapexMonth+1)*-DepExp) )</f>
        <v>0</v>
      </c>
      <c r="AD23" s="265" cm="1">
        <f t="array" ref="AD23">SUMPRODUCT( (CapexCategory=$C23)*(AD$4&gt;=CapexMonth) * (AD$4&lt;=DepStop)* ((AD$4-CapexMonth+1)*-DepExp) )</f>
        <v>0</v>
      </c>
      <c r="AE23" s="265" cm="1">
        <f t="array" ref="AE23">SUMPRODUCT( (CapexCategory=$C23)*(AE$4&gt;=CapexMonth) * (AE$4&lt;=DepStop)* ((AE$4-CapexMonth+1)*-DepExp) )</f>
        <v>0</v>
      </c>
      <c r="AF23" s="265" cm="1">
        <f t="array" ref="AF23">SUMPRODUCT( (CapexCategory=$C23)*(AF$4&gt;=CapexMonth) * (AF$4&lt;=DepStop)* ((AF$4-CapexMonth+1)*-DepExp) )</f>
        <v>0</v>
      </c>
      <c r="AG23" s="265" cm="1">
        <f t="array" ref="AG23">SUMPRODUCT( (CapexCategory=$C23)*(AG$4&gt;=CapexMonth) * (AG$4&lt;=DepStop)* ((AG$4-CapexMonth+1)*-DepExp) )</f>
        <v>0</v>
      </c>
      <c r="AH23" s="263" cm="1">
        <f t="array" ref="AH23">SUMPRODUCT( (CapexCategory=$C23)*(AH$4&gt;=CapexMonth) * (AH$4&lt;=DepStop)* ((AH$4-CapexMonth+1)*-DepExp) )</f>
        <v>0</v>
      </c>
      <c r="AI23" s="265" cm="1">
        <f t="array" ref="AI23">SUMPRODUCT( (CapexCategory=$C23)*(AI$4&gt;=CapexMonth) * (AI$4&lt;=DepStop)* ((AI$4-CapexMonth+1)*-DepExp) )</f>
        <v>0</v>
      </c>
      <c r="AJ23" s="265" cm="1">
        <f t="array" ref="AJ23">SUMPRODUCT( (CapexCategory=$C23)*(AJ$4&gt;=CapexMonth) * (AJ$4&lt;=DepStop)* ((AJ$4-CapexMonth+1)*-DepExp) )</f>
        <v>0</v>
      </c>
      <c r="AK23" s="265" cm="1">
        <f t="array" ref="AK23">SUMPRODUCT( (CapexCategory=$C23)*(AK$4&gt;=CapexMonth) * (AK$4&lt;=DepStop)* ((AK$4-CapexMonth+1)*-DepExp) )</f>
        <v>0</v>
      </c>
      <c r="AL23" s="265" cm="1">
        <f t="array" ref="AL23">SUMPRODUCT( (CapexCategory=$C23)*(AL$4&gt;=CapexMonth) * (AL$4&lt;=DepStop)* ((AL$4-CapexMonth+1)*-DepExp) )</f>
        <v>0</v>
      </c>
      <c r="AM23" s="265" cm="1">
        <f t="array" ref="AM23">SUMPRODUCT( (CapexCategory=$C23)*(AM$4&gt;=CapexMonth) * (AM$4&lt;=DepStop)* ((AM$4-CapexMonth+1)*-DepExp) )</f>
        <v>0</v>
      </c>
      <c r="AN23" s="265" cm="1">
        <f t="array" ref="AN23">SUMPRODUCT( (CapexCategory=$C23)*(AN$4&gt;=CapexMonth) * (AN$4&lt;=DepStop)* ((AN$4-CapexMonth+1)*-DepExp) )</f>
        <v>0</v>
      </c>
      <c r="AO23" s="265" cm="1">
        <f t="array" ref="AO23">SUMPRODUCT( (CapexCategory=$C23)*(AO$4&gt;=CapexMonth) * (AO$4&lt;=DepStop)* ((AO$4-CapexMonth+1)*-DepExp) )</f>
        <v>0</v>
      </c>
      <c r="AP23" s="265" cm="1">
        <f t="array" ref="AP23">SUMPRODUCT( (CapexCategory=$C23)*(AP$4&gt;=CapexMonth) * (AP$4&lt;=DepStop)* ((AP$4-CapexMonth+1)*-DepExp) )</f>
        <v>0</v>
      </c>
      <c r="AQ23" s="265" cm="1">
        <f t="array" ref="AQ23">SUMPRODUCT( (CapexCategory=$C23)*(AQ$4&gt;=CapexMonth) * (AQ$4&lt;=DepStop)* ((AQ$4-CapexMonth+1)*-DepExp) )</f>
        <v>0</v>
      </c>
      <c r="AR23" s="265" cm="1">
        <f t="array" ref="AR23">SUMPRODUCT( (CapexCategory=$C23)*(AR$4&gt;=CapexMonth) * (AR$4&lt;=DepStop)* ((AR$4-CapexMonth+1)*-DepExp) )</f>
        <v>0</v>
      </c>
      <c r="AS23" s="265" cm="1">
        <f t="array" ref="AS23">SUMPRODUCT( (CapexCategory=$C23)*(AS$4&gt;=CapexMonth) * (AS$4&lt;=DepStop)* ((AS$4-CapexMonth+1)*-DepExp) )</f>
        <v>0</v>
      </c>
      <c r="AT23" s="263" cm="1">
        <f t="array" ref="AT23">SUMPRODUCT( (CapexCategory=$C23)*(AT$4&gt;=CapexMonth) * (AT$4&lt;=DepStop)* ((AT$4-CapexMonth+1)*-DepExp) )</f>
        <v>0</v>
      </c>
      <c r="AU23" s="265" cm="1">
        <f t="array" ref="AU23">SUMPRODUCT( (CapexCategory=$C23)*(AU$4&gt;=CapexMonth) * (AU$4&lt;=DepStop)* ((AU$4-CapexMonth+1)*-DepExp) )</f>
        <v>0</v>
      </c>
      <c r="AV23" s="265" cm="1">
        <f t="array" ref="AV23">SUMPRODUCT( (CapexCategory=$C23)*(AV$4&gt;=CapexMonth) * (AV$4&lt;=DepStop)* ((AV$4-CapexMonth+1)*-DepExp) )</f>
        <v>0</v>
      </c>
      <c r="AW23" s="265" cm="1">
        <f t="array" ref="AW23">SUMPRODUCT( (CapexCategory=$C23)*(AW$4&gt;=CapexMonth) * (AW$4&lt;=DepStop)* ((AW$4-CapexMonth+1)*-DepExp) )</f>
        <v>0</v>
      </c>
      <c r="AX23" s="265" cm="1">
        <f t="array" ref="AX23">SUMPRODUCT( (CapexCategory=$C23)*(AX$4&gt;=CapexMonth) * (AX$4&lt;=DepStop)* ((AX$4-CapexMonth+1)*-DepExp) )</f>
        <v>0</v>
      </c>
      <c r="AY23" s="265" cm="1">
        <f t="array" ref="AY23">SUMPRODUCT( (CapexCategory=$C23)*(AY$4&gt;=CapexMonth) * (AY$4&lt;=DepStop)* ((AY$4-CapexMonth+1)*-DepExp) )</f>
        <v>0</v>
      </c>
      <c r="AZ23" s="265" cm="1">
        <f t="array" ref="AZ23">SUMPRODUCT( (CapexCategory=$C23)*(AZ$4&gt;=CapexMonth) * (AZ$4&lt;=DepStop)* ((AZ$4-CapexMonth+1)*-DepExp) )</f>
        <v>0</v>
      </c>
      <c r="BA23" s="265" cm="1">
        <f t="array" ref="BA23">SUMPRODUCT( (CapexCategory=$C23)*(BA$4&gt;=CapexMonth) * (BA$4&lt;=DepStop)* ((BA$4-CapexMonth+1)*-DepExp) )</f>
        <v>0</v>
      </c>
      <c r="BB23" s="265" cm="1">
        <f t="array" ref="BB23">SUMPRODUCT( (CapexCategory=$C23)*(BB$4&gt;=CapexMonth) * (BB$4&lt;=DepStop)* ((BB$4-CapexMonth+1)*-DepExp) )</f>
        <v>0</v>
      </c>
      <c r="BC23" s="265" cm="1">
        <f t="array" ref="BC23">SUMPRODUCT( (CapexCategory=$C23)*(BC$4&gt;=CapexMonth) * (BC$4&lt;=DepStop)* ((BC$4-CapexMonth+1)*-DepExp) )</f>
        <v>0</v>
      </c>
      <c r="BD23" s="265" cm="1">
        <f t="array" ref="BD23">SUMPRODUCT( (CapexCategory=$C23)*(BD$4&gt;=CapexMonth) * (BD$4&lt;=DepStop)* ((BD$4-CapexMonth+1)*-DepExp) )</f>
        <v>0</v>
      </c>
      <c r="BE23" s="265" cm="1">
        <f t="array" ref="BE23">SUMPRODUCT( (CapexCategory=$C23)*(BE$4&gt;=CapexMonth) * (BE$4&lt;=DepStop)* ((BE$4-CapexMonth+1)*-DepExp) )</f>
        <v>0</v>
      </c>
      <c r="BF23" s="263" cm="1">
        <f t="array" ref="BF23">SUMPRODUCT( (CapexCategory=$C23)*(BF$4&gt;=CapexMonth) * (BF$4&lt;=DepStop)* ((BF$4-CapexMonth+1)*-DepExp) )</f>
        <v>0</v>
      </c>
      <c r="BG23" s="265" cm="1">
        <f t="array" ref="BG23">SUMPRODUCT( (CapexCategory=$C23)*(BG$4&gt;=CapexMonth) * (BG$4&lt;=DepStop)* ((BG$4-CapexMonth+1)*-DepExp) )</f>
        <v>0</v>
      </c>
      <c r="BH23" s="265" cm="1">
        <f t="array" ref="BH23">SUMPRODUCT( (CapexCategory=$C23)*(BH$4&gt;=CapexMonth) * (BH$4&lt;=DepStop)* ((BH$4-CapexMonth+1)*-DepExp) )</f>
        <v>0</v>
      </c>
      <c r="BI23" s="265" cm="1">
        <f t="array" ref="BI23">SUMPRODUCT( (CapexCategory=$C23)*(BI$4&gt;=CapexMonth) * (BI$4&lt;=DepStop)* ((BI$4-CapexMonth+1)*-DepExp) )</f>
        <v>0</v>
      </c>
      <c r="BJ23" s="265" cm="1">
        <f t="array" ref="BJ23">SUMPRODUCT( (CapexCategory=$C23)*(BJ$4&gt;=CapexMonth) * (BJ$4&lt;=DepStop)* ((BJ$4-CapexMonth+1)*-DepExp) )</f>
        <v>0</v>
      </c>
      <c r="BK23" s="265" cm="1">
        <f t="array" ref="BK23">SUMPRODUCT( (CapexCategory=$C23)*(BK$4&gt;=CapexMonth) * (BK$4&lt;=DepStop)* ((BK$4-CapexMonth+1)*-DepExp) )</f>
        <v>0</v>
      </c>
      <c r="BL23" s="265" cm="1">
        <f t="array" ref="BL23">SUMPRODUCT( (CapexCategory=$C23)*(BL$4&gt;=CapexMonth) * (BL$4&lt;=DepStop)* ((BL$4-CapexMonth+1)*-DepExp) )</f>
        <v>0</v>
      </c>
      <c r="BM23" s="265" cm="1">
        <f t="array" ref="BM23">SUMPRODUCT( (CapexCategory=$C23)*(BM$4&gt;=CapexMonth) * (BM$4&lt;=DepStop)* ((BM$4-CapexMonth+1)*-DepExp) )</f>
        <v>0</v>
      </c>
      <c r="BN23" s="265" cm="1">
        <f t="array" ref="BN23">SUMPRODUCT( (CapexCategory=$C23)*(BN$4&gt;=CapexMonth) * (BN$4&lt;=DepStop)* ((BN$4-CapexMonth+1)*-DepExp) )</f>
        <v>0</v>
      </c>
      <c r="BO23" s="265" cm="1">
        <f t="array" ref="BO23">SUMPRODUCT( (CapexCategory=$C23)*(BO$4&gt;=CapexMonth) * (BO$4&lt;=DepStop)* ((BO$4-CapexMonth+1)*-DepExp) )</f>
        <v>0</v>
      </c>
      <c r="BP23" s="265" cm="1">
        <f t="array" ref="BP23">SUMPRODUCT( (CapexCategory=$C23)*(BP$4&gt;=CapexMonth) * (BP$4&lt;=DepStop)* ((BP$4-CapexMonth+1)*-DepExp) )</f>
        <v>0</v>
      </c>
      <c r="BQ23" s="265" cm="1">
        <f t="array" ref="BQ23">SUMPRODUCT( (CapexCategory=$C23)*(BQ$4&gt;=CapexMonth) * (BQ$4&lt;=DepStop)* ((BQ$4-CapexMonth+1)*-DepExp) )</f>
        <v>0</v>
      </c>
      <c r="BR23" s="263" cm="1">
        <f t="array" ref="BR23">SUMPRODUCT( (CapexCategory=$C23)*(BR$4&gt;=CapexMonth) * (BR$4&lt;=DepStop)* ((BR$4-CapexMonth+1)*-DepExp) )</f>
        <v>0</v>
      </c>
    </row>
    <row r="24" spans="1:70" ht="13.2" hidden="1" x14ac:dyDescent="0.3">
      <c r="C24" s="185" t="s">
        <v>221</v>
      </c>
      <c r="D24" s="14"/>
      <c r="E24" s="263">
        <f t="shared" si="17"/>
        <v>0</v>
      </c>
      <c r="F24" s="263">
        <f t="shared" si="18"/>
        <v>0</v>
      </c>
      <c r="G24" s="263">
        <f t="shared" si="19"/>
        <v>0</v>
      </c>
      <c r="H24" s="263">
        <f t="shared" si="20"/>
        <v>0</v>
      </c>
      <c r="I24" s="263">
        <f t="shared" si="21"/>
        <v>0</v>
      </c>
      <c r="J24" s="264"/>
      <c r="K24" s="265" cm="1">
        <f t="array" ref="K24">SUMPRODUCT( (CapexCategory=$C24)*(K$4&gt;=CapexMonth) * (K$4&lt;=DepStop)* ((K$4-CapexMonth+1)*-DepExp) )</f>
        <v>0</v>
      </c>
      <c r="L24" s="265" cm="1">
        <f t="array" ref="L24">SUMPRODUCT( (CapexCategory=$C24)*(L$4&gt;=CapexMonth) * (L$4&lt;=DepStop)* ((L$4-CapexMonth+1)*-DepExp) )</f>
        <v>0</v>
      </c>
      <c r="M24" s="265" cm="1">
        <f t="array" ref="M24">SUMPRODUCT( (CapexCategory=$C24)*(M$4&gt;=CapexMonth) * (M$4&lt;=DepStop)* ((M$4-CapexMonth+1)*-DepExp) )</f>
        <v>0</v>
      </c>
      <c r="N24" s="265" cm="1">
        <f t="array" ref="N24">SUMPRODUCT( (CapexCategory=$C24)*(N$4&gt;=CapexMonth) * (N$4&lt;=DepStop)* ((N$4-CapexMonth+1)*-DepExp) )</f>
        <v>0</v>
      </c>
      <c r="O24" s="265" cm="1">
        <f t="array" ref="O24">SUMPRODUCT( (CapexCategory=$C24)*(O$4&gt;=CapexMonth) * (O$4&lt;=DepStop)* ((O$4-CapexMonth+1)*-DepExp) )</f>
        <v>0</v>
      </c>
      <c r="P24" s="265" cm="1">
        <f t="array" ref="P24">SUMPRODUCT( (CapexCategory=$C24)*(P$4&gt;=CapexMonth) * (P$4&lt;=DepStop)* ((P$4-CapexMonth+1)*-DepExp) )</f>
        <v>0</v>
      </c>
      <c r="Q24" s="265" cm="1">
        <f t="array" ref="Q24">SUMPRODUCT( (CapexCategory=$C24)*(Q$4&gt;=CapexMonth) * (Q$4&lt;=DepStop)* ((Q$4-CapexMonth+1)*-DepExp) )</f>
        <v>0</v>
      </c>
      <c r="R24" s="265" cm="1">
        <f t="array" ref="R24">SUMPRODUCT( (CapexCategory=$C24)*(R$4&gt;=CapexMonth) * (R$4&lt;=DepStop)* ((R$4-CapexMonth+1)*-DepExp) )</f>
        <v>0</v>
      </c>
      <c r="S24" s="265" cm="1">
        <f t="array" ref="S24">SUMPRODUCT( (CapexCategory=$C24)*(S$4&gt;=CapexMonth) * (S$4&lt;=DepStop)* ((S$4-CapexMonth+1)*-DepExp) )</f>
        <v>0</v>
      </c>
      <c r="T24" s="265" cm="1">
        <f t="array" ref="T24">SUMPRODUCT( (CapexCategory=$C24)*(T$4&gt;=CapexMonth) * (T$4&lt;=DepStop)* ((T$4-CapexMonth+1)*-DepExp) )</f>
        <v>0</v>
      </c>
      <c r="U24" s="265" cm="1">
        <f t="array" ref="U24">SUMPRODUCT( (CapexCategory=$C24)*(U$4&gt;=CapexMonth) * (U$4&lt;=DepStop)* ((U$4-CapexMonth+1)*-DepExp) )</f>
        <v>0</v>
      </c>
      <c r="V24" s="263" cm="1">
        <f t="array" ref="V24">SUMPRODUCT( (CapexCategory=$C24)*(V$4&gt;=CapexMonth) * (V$4&lt;=DepStop)* ((V$4-CapexMonth+1)*-DepExp) )</f>
        <v>0</v>
      </c>
      <c r="W24" s="265" cm="1">
        <f t="array" ref="W24">SUMPRODUCT( (CapexCategory=$C24)*(W$4&gt;=CapexMonth) * (W$4&lt;=DepStop)* ((W$4-CapexMonth+1)*-DepExp) )</f>
        <v>0</v>
      </c>
      <c r="X24" s="265" cm="1">
        <f t="array" ref="X24">SUMPRODUCT( (CapexCategory=$C24)*(X$4&gt;=CapexMonth) * (X$4&lt;=DepStop)* ((X$4-CapexMonth+1)*-DepExp) )</f>
        <v>0</v>
      </c>
      <c r="Y24" s="265" cm="1">
        <f t="array" ref="Y24">SUMPRODUCT( (CapexCategory=$C24)*(Y$4&gt;=CapexMonth) * (Y$4&lt;=DepStop)* ((Y$4-CapexMonth+1)*-DepExp) )</f>
        <v>0</v>
      </c>
      <c r="Z24" s="265" cm="1">
        <f t="array" ref="Z24">SUMPRODUCT( (CapexCategory=$C24)*(Z$4&gt;=CapexMonth) * (Z$4&lt;=DepStop)* ((Z$4-CapexMonth+1)*-DepExp) )</f>
        <v>0</v>
      </c>
      <c r="AA24" s="265" cm="1">
        <f t="array" ref="AA24">SUMPRODUCT( (CapexCategory=$C24)*(AA$4&gt;=CapexMonth) * (AA$4&lt;=DepStop)* ((AA$4-CapexMonth+1)*-DepExp) )</f>
        <v>0</v>
      </c>
      <c r="AB24" s="265" cm="1">
        <f t="array" ref="AB24">SUMPRODUCT( (CapexCategory=$C24)*(AB$4&gt;=CapexMonth) * (AB$4&lt;=DepStop)* ((AB$4-CapexMonth+1)*-DepExp) )</f>
        <v>0</v>
      </c>
      <c r="AC24" s="265" cm="1">
        <f t="array" ref="AC24">SUMPRODUCT( (CapexCategory=$C24)*(AC$4&gt;=CapexMonth) * (AC$4&lt;=DepStop)* ((AC$4-CapexMonth+1)*-DepExp) )</f>
        <v>0</v>
      </c>
      <c r="AD24" s="265" cm="1">
        <f t="array" ref="AD24">SUMPRODUCT( (CapexCategory=$C24)*(AD$4&gt;=CapexMonth) * (AD$4&lt;=DepStop)* ((AD$4-CapexMonth+1)*-DepExp) )</f>
        <v>0</v>
      </c>
      <c r="AE24" s="265" cm="1">
        <f t="array" ref="AE24">SUMPRODUCT( (CapexCategory=$C24)*(AE$4&gt;=CapexMonth) * (AE$4&lt;=DepStop)* ((AE$4-CapexMonth+1)*-DepExp) )</f>
        <v>0</v>
      </c>
      <c r="AF24" s="265" cm="1">
        <f t="array" ref="AF24">SUMPRODUCT( (CapexCategory=$C24)*(AF$4&gt;=CapexMonth) * (AF$4&lt;=DepStop)* ((AF$4-CapexMonth+1)*-DepExp) )</f>
        <v>0</v>
      </c>
      <c r="AG24" s="265" cm="1">
        <f t="array" ref="AG24">SUMPRODUCT( (CapexCategory=$C24)*(AG$4&gt;=CapexMonth) * (AG$4&lt;=DepStop)* ((AG$4-CapexMonth+1)*-DepExp) )</f>
        <v>0</v>
      </c>
      <c r="AH24" s="263" cm="1">
        <f t="array" ref="AH24">SUMPRODUCT( (CapexCategory=$C24)*(AH$4&gt;=CapexMonth) * (AH$4&lt;=DepStop)* ((AH$4-CapexMonth+1)*-DepExp) )</f>
        <v>0</v>
      </c>
      <c r="AI24" s="265" cm="1">
        <f t="array" ref="AI24">SUMPRODUCT( (CapexCategory=$C24)*(AI$4&gt;=CapexMonth) * (AI$4&lt;=DepStop)* ((AI$4-CapexMonth+1)*-DepExp) )</f>
        <v>0</v>
      </c>
      <c r="AJ24" s="265" cm="1">
        <f t="array" ref="AJ24">SUMPRODUCT( (CapexCategory=$C24)*(AJ$4&gt;=CapexMonth) * (AJ$4&lt;=DepStop)* ((AJ$4-CapexMonth+1)*-DepExp) )</f>
        <v>0</v>
      </c>
      <c r="AK24" s="265" cm="1">
        <f t="array" ref="AK24">SUMPRODUCT( (CapexCategory=$C24)*(AK$4&gt;=CapexMonth) * (AK$4&lt;=DepStop)* ((AK$4-CapexMonth+1)*-DepExp) )</f>
        <v>0</v>
      </c>
      <c r="AL24" s="265" cm="1">
        <f t="array" ref="AL24">SUMPRODUCT( (CapexCategory=$C24)*(AL$4&gt;=CapexMonth) * (AL$4&lt;=DepStop)* ((AL$4-CapexMonth+1)*-DepExp) )</f>
        <v>0</v>
      </c>
      <c r="AM24" s="265" cm="1">
        <f t="array" ref="AM24">SUMPRODUCT( (CapexCategory=$C24)*(AM$4&gt;=CapexMonth) * (AM$4&lt;=DepStop)* ((AM$4-CapexMonth+1)*-DepExp) )</f>
        <v>0</v>
      </c>
      <c r="AN24" s="265" cm="1">
        <f t="array" ref="AN24">SUMPRODUCT( (CapexCategory=$C24)*(AN$4&gt;=CapexMonth) * (AN$4&lt;=DepStop)* ((AN$4-CapexMonth+1)*-DepExp) )</f>
        <v>0</v>
      </c>
      <c r="AO24" s="265" cm="1">
        <f t="array" ref="AO24">SUMPRODUCT( (CapexCategory=$C24)*(AO$4&gt;=CapexMonth) * (AO$4&lt;=DepStop)* ((AO$4-CapexMonth+1)*-DepExp) )</f>
        <v>0</v>
      </c>
      <c r="AP24" s="265" cm="1">
        <f t="array" ref="AP24">SUMPRODUCT( (CapexCategory=$C24)*(AP$4&gt;=CapexMonth) * (AP$4&lt;=DepStop)* ((AP$4-CapexMonth+1)*-DepExp) )</f>
        <v>0</v>
      </c>
      <c r="AQ24" s="265" cm="1">
        <f t="array" ref="AQ24">SUMPRODUCT( (CapexCategory=$C24)*(AQ$4&gt;=CapexMonth) * (AQ$4&lt;=DepStop)* ((AQ$4-CapexMonth+1)*-DepExp) )</f>
        <v>0</v>
      </c>
      <c r="AR24" s="265" cm="1">
        <f t="array" ref="AR24">SUMPRODUCT( (CapexCategory=$C24)*(AR$4&gt;=CapexMonth) * (AR$4&lt;=DepStop)* ((AR$4-CapexMonth+1)*-DepExp) )</f>
        <v>0</v>
      </c>
      <c r="AS24" s="265" cm="1">
        <f t="array" ref="AS24">SUMPRODUCT( (CapexCategory=$C24)*(AS$4&gt;=CapexMonth) * (AS$4&lt;=DepStop)* ((AS$4-CapexMonth+1)*-DepExp) )</f>
        <v>0</v>
      </c>
      <c r="AT24" s="263" cm="1">
        <f t="array" ref="AT24">SUMPRODUCT( (CapexCategory=$C24)*(AT$4&gt;=CapexMonth) * (AT$4&lt;=DepStop)* ((AT$4-CapexMonth+1)*-DepExp) )</f>
        <v>0</v>
      </c>
      <c r="AU24" s="265" cm="1">
        <f t="array" ref="AU24">SUMPRODUCT( (CapexCategory=$C24)*(AU$4&gt;=CapexMonth) * (AU$4&lt;=DepStop)* ((AU$4-CapexMonth+1)*-DepExp) )</f>
        <v>0</v>
      </c>
      <c r="AV24" s="265" cm="1">
        <f t="array" ref="AV24">SUMPRODUCT( (CapexCategory=$C24)*(AV$4&gt;=CapexMonth) * (AV$4&lt;=DepStop)* ((AV$4-CapexMonth+1)*-DepExp) )</f>
        <v>0</v>
      </c>
      <c r="AW24" s="265" cm="1">
        <f t="array" ref="AW24">SUMPRODUCT( (CapexCategory=$C24)*(AW$4&gt;=CapexMonth) * (AW$4&lt;=DepStop)* ((AW$4-CapexMonth+1)*-DepExp) )</f>
        <v>0</v>
      </c>
      <c r="AX24" s="265" cm="1">
        <f t="array" ref="AX24">SUMPRODUCT( (CapexCategory=$C24)*(AX$4&gt;=CapexMonth) * (AX$4&lt;=DepStop)* ((AX$4-CapexMonth+1)*-DepExp) )</f>
        <v>0</v>
      </c>
      <c r="AY24" s="265" cm="1">
        <f t="array" ref="AY24">SUMPRODUCT( (CapexCategory=$C24)*(AY$4&gt;=CapexMonth) * (AY$4&lt;=DepStop)* ((AY$4-CapexMonth+1)*-DepExp) )</f>
        <v>0</v>
      </c>
      <c r="AZ24" s="265" cm="1">
        <f t="array" ref="AZ24">SUMPRODUCT( (CapexCategory=$C24)*(AZ$4&gt;=CapexMonth) * (AZ$4&lt;=DepStop)* ((AZ$4-CapexMonth+1)*-DepExp) )</f>
        <v>0</v>
      </c>
      <c r="BA24" s="265" cm="1">
        <f t="array" ref="BA24">SUMPRODUCT( (CapexCategory=$C24)*(BA$4&gt;=CapexMonth) * (BA$4&lt;=DepStop)* ((BA$4-CapexMonth+1)*-DepExp) )</f>
        <v>0</v>
      </c>
      <c r="BB24" s="265" cm="1">
        <f t="array" ref="BB24">SUMPRODUCT( (CapexCategory=$C24)*(BB$4&gt;=CapexMonth) * (BB$4&lt;=DepStop)* ((BB$4-CapexMonth+1)*-DepExp) )</f>
        <v>0</v>
      </c>
      <c r="BC24" s="265" cm="1">
        <f t="array" ref="BC24">SUMPRODUCT( (CapexCategory=$C24)*(BC$4&gt;=CapexMonth) * (BC$4&lt;=DepStop)* ((BC$4-CapexMonth+1)*-DepExp) )</f>
        <v>0</v>
      </c>
      <c r="BD24" s="265" cm="1">
        <f t="array" ref="BD24">SUMPRODUCT( (CapexCategory=$C24)*(BD$4&gt;=CapexMonth) * (BD$4&lt;=DepStop)* ((BD$4-CapexMonth+1)*-DepExp) )</f>
        <v>0</v>
      </c>
      <c r="BE24" s="265" cm="1">
        <f t="array" ref="BE24">SUMPRODUCT( (CapexCategory=$C24)*(BE$4&gt;=CapexMonth) * (BE$4&lt;=DepStop)* ((BE$4-CapexMonth+1)*-DepExp) )</f>
        <v>0</v>
      </c>
      <c r="BF24" s="263" cm="1">
        <f t="array" ref="BF24">SUMPRODUCT( (CapexCategory=$C24)*(BF$4&gt;=CapexMonth) * (BF$4&lt;=DepStop)* ((BF$4-CapexMonth+1)*-DepExp) )</f>
        <v>0</v>
      </c>
      <c r="BG24" s="265" cm="1">
        <f t="array" ref="BG24">SUMPRODUCT( (CapexCategory=$C24)*(BG$4&gt;=CapexMonth) * (BG$4&lt;=DepStop)* ((BG$4-CapexMonth+1)*-DepExp) )</f>
        <v>0</v>
      </c>
      <c r="BH24" s="265" cm="1">
        <f t="array" ref="BH24">SUMPRODUCT( (CapexCategory=$C24)*(BH$4&gt;=CapexMonth) * (BH$4&lt;=DepStop)* ((BH$4-CapexMonth+1)*-DepExp) )</f>
        <v>0</v>
      </c>
      <c r="BI24" s="265" cm="1">
        <f t="array" ref="BI24">SUMPRODUCT( (CapexCategory=$C24)*(BI$4&gt;=CapexMonth) * (BI$4&lt;=DepStop)* ((BI$4-CapexMonth+1)*-DepExp) )</f>
        <v>0</v>
      </c>
      <c r="BJ24" s="265" cm="1">
        <f t="array" ref="BJ24">SUMPRODUCT( (CapexCategory=$C24)*(BJ$4&gt;=CapexMonth) * (BJ$4&lt;=DepStop)* ((BJ$4-CapexMonth+1)*-DepExp) )</f>
        <v>0</v>
      </c>
      <c r="BK24" s="265" cm="1">
        <f t="array" ref="BK24">SUMPRODUCT( (CapexCategory=$C24)*(BK$4&gt;=CapexMonth) * (BK$4&lt;=DepStop)* ((BK$4-CapexMonth+1)*-DepExp) )</f>
        <v>0</v>
      </c>
      <c r="BL24" s="265" cm="1">
        <f t="array" ref="BL24">SUMPRODUCT( (CapexCategory=$C24)*(BL$4&gt;=CapexMonth) * (BL$4&lt;=DepStop)* ((BL$4-CapexMonth+1)*-DepExp) )</f>
        <v>0</v>
      </c>
      <c r="BM24" s="265" cm="1">
        <f t="array" ref="BM24">SUMPRODUCT( (CapexCategory=$C24)*(BM$4&gt;=CapexMonth) * (BM$4&lt;=DepStop)* ((BM$4-CapexMonth+1)*-DepExp) )</f>
        <v>0</v>
      </c>
      <c r="BN24" s="265" cm="1">
        <f t="array" ref="BN24">SUMPRODUCT( (CapexCategory=$C24)*(BN$4&gt;=CapexMonth) * (BN$4&lt;=DepStop)* ((BN$4-CapexMonth+1)*-DepExp) )</f>
        <v>0</v>
      </c>
      <c r="BO24" s="265" cm="1">
        <f t="array" ref="BO24">SUMPRODUCT( (CapexCategory=$C24)*(BO$4&gt;=CapexMonth) * (BO$4&lt;=DepStop)* ((BO$4-CapexMonth+1)*-DepExp) )</f>
        <v>0</v>
      </c>
      <c r="BP24" s="265" cm="1">
        <f t="array" ref="BP24">SUMPRODUCT( (CapexCategory=$C24)*(BP$4&gt;=CapexMonth) * (BP$4&lt;=DepStop)* ((BP$4-CapexMonth+1)*-DepExp) )</f>
        <v>0</v>
      </c>
      <c r="BQ24" s="265" cm="1">
        <f t="array" ref="BQ24">SUMPRODUCT( (CapexCategory=$C24)*(BQ$4&gt;=CapexMonth) * (BQ$4&lt;=DepStop)* ((BQ$4-CapexMonth+1)*-DepExp) )</f>
        <v>0</v>
      </c>
      <c r="BR24" s="263" cm="1">
        <f t="array" ref="BR24">SUMPRODUCT( (CapexCategory=$C24)*(BR$4&gt;=CapexMonth) * (BR$4&lt;=DepStop)* ((BR$4-CapexMonth+1)*-DepExp) )</f>
        <v>0</v>
      </c>
    </row>
    <row r="25" spans="1:70" ht="13.2" hidden="1" x14ac:dyDescent="0.3">
      <c r="C25" s="185" t="s">
        <v>222</v>
      </c>
      <c r="D25" s="14"/>
      <c r="E25" s="263">
        <f t="shared" si="17"/>
        <v>-50</v>
      </c>
      <c r="F25" s="263">
        <f t="shared" si="18"/>
        <v>0</v>
      </c>
      <c r="G25" s="263">
        <f t="shared" si="19"/>
        <v>0</v>
      </c>
      <c r="H25" s="263">
        <f t="shared" si="20"/>
        <v>0</v>
      </c>
      <c r="I25" s="263">
        <f t="shared" si="21"/>
        <v>0</v>
      </c>
      <c r="J25" s="264"/>
      <c r="K25" s="265" cm="1">
        <f t="array" ref="K25">SUMPRODUCT( (CapexCategory=$C25)*(K$4&gt;=CapexMonth) * (K$4&lt;=DepStop)* ((K$4-CapexMonth+1)*-DepExp) )</f>
        <v>0</v>
      </c>
      <c r="L25" s="265" cm="1">
        <f t="array" ref="L25">SUMPRODUCT( (CapexCategory=$C25)*(L$4&gt;=CapexMonth) * (L$4&lt;=DepStop)* ((L$4-CapexMonth+1)*-DepExp) )</f>
        <v>0</v>
      </c>
      <c r="M25" s="265" cm="1">
        <f t="array" ref="M25">SUMPRODUCT( (CapexCategory=$C25)*(M$4&gt;=CapexMonth) * (M$4&lt;=DepStop)* ((M$4-CapexMonth+1)*-DepExp) )</f>
        <v>0</v>
      </c>
      <c r="N25" s="265" cm="1">
        <f t="array" ref="N25">SUMPRODUCT( (CapexCategory=$C25)*(N$4&gt;=CapexMonth) * (N$4&lt;=DepStop)* ((N$4-CapexMonth+1)*-DepExp) )</f>
        <v>0</v>
      </c>
      <c r="O25" s="265" cm="1">
        <f t="array" ref="O25">SUMPRODUCT( (CapexCategory=$C25)*(O$4&gt;=CapexMonth) * (O$4&lt;=DepStop)* ((O$4-CapexMonth+1)*-DepExp) )</f>
        <v>0</v>
      </c>
      <c r="P25" s="265" cm="1">
        <f t="array" ref="P25">SUMPRODUCT( (CapexCategory=$C25)*(P$4&gt;=CapexMonth) * (P$4&lt;=DepStop)* ((P$4-CapexMonth+1)*-DepExp) )</f>
        <v>-7.1428571428571432</v>
      </c>
      <c r="Q25" s="265" cm="1">
        <f t="array" ref="Q25">SUMPRODUCT( (CapexCategory=$C25)*(Q$4&gt;=CapexMonth) * (Q$4&lt;=DepStop)* ((Q$4-CapexMonth+1)*-DepExp) )</f>
        <v>-14.285714285714286</v>
      </c>
      <c r="R25" s="265" cm="1">
        <f t="array" ref="R25">SUMPRODUCT( (CapexCategory=$C25)*(R$4&gt;=CapexMonth) * (R$4&lt;=DepStop)* ((R$4-CapexMonth+1)*-DepExp) )</f>
        <v>-21.428571428571431</v>
      </c>
      <c r="S25" s="265" cm="1">
        <f t="array" ref="S25">SUMPRODUCT( (CapexCategory=$C25)*(S$4&gt;=CapexMonth) * (S$4&lt;=DepStop)* ((S$4-CapexMonth+1)*-DepExp) )</f>
        <v>-28.571428571428573</v>
      </c>
      <c r="T25" s="265" cm="1">
        <f t="array" ref="T25">SUMPRODUCT( (CapexCategory=$C25)*(T$4&gt;=CapexMonth) * (T$4&lt;=DepStop)* ((T$4-CapexMonth+1)*-DepExp) )</f>
        <v>-35.714285714285715</v>
      </c>
      <c r="U25" s="265" cm="1">
        <f t="array" ref="U25">SUMPRODUCT( (CapexCategory=$C25)*(U$4&gt;=CapexMonth) * (U$4&lt;=DepStop)* ((U$4-CapexMonth+1)*-DepExp) )</f>
        <v>-42.857142857142861</v>
      </c>
      <c r="V25" s="263" cm="1">
        <f t="array" ref="V25">SUMPRODUCT( (CapexCategory=$C25)*(V$4&gt;=CapexMonth) * (V$4&lt;=DepStop)* ((V$4-CapexMonth+1)*-DepExp) )</f>
        <v>-50</v>
      </c>
      <c r="W25" s="265" cm="1">
        <f t="array" ref="W25">SUMPRODUCT( (CapexCategory=$C25)*(W$4&gt;=CapexMonth) * (W$4&lt;=DepStop)* ((W$4-CapexMonth+1)*-DepExp) )</f>
        <v>0</v>
      </c>
      <c r="X25" s="265" cm="1">
        <f t="array" ref="X25">SUMPRODUCT( (CapexCategory=$C25)*(X$4&gt;=CapexMonth) * (X$4&lt;=DepStop)* ((X$4-CapexMonth+1)*-DepExp) )</f>
        <v>0</v>
      </c>
      <c r="Y25" s="265" cm="1">
        <f t="array" ref="Y25">SUMPRODUCT( (CapexCategory=$C25)*(Y$4&gt;=CapexMonth) * (Y$4&lt;=DepStop)* ((Y$4-CapexMonth+1)*-DepExp) )</f>
        <v>0</v>
      </c>
      <c r="Z25" s="265" cm="1">
        <f t="array" ref="Z25">SUMPRODUCT( (CapexCategory=$C25)*(Z$4&gt;=CapexMonth) * (Z$4&lt;=DepStop)* ((Z$4-CapexMonth+1)*-DepExp) )</f>
        <v>0</v>
      </c>
      <c r="AA25" s="265" cm="1">
        <f t="array" ref="AA25">SUMPRODUCT( (CapexCategory=$C25)*(AA$4&gt;=CapexMonth) * (AA$4&lt;=DepStop)* ((AA$4-CapexMonth+1)*-DepExp) )</f>
        <v>0</v>
      </c>
      <c r="AB25" s="265" cm="1">
        <f t="array" ref="AB25">SUMPRODUCT( (CapexCategory=$C25)*(AB$4&gt;=CapexMonth) * (AB$4&lt;=DepStop)* ((AB$4-CapexMonth+1)*-DepExp) )</f>
        <v>0</v>
      </c>
      <c r="AC25" s="265" cm="1">
        <f t="array" ref="AC25">SUMPRODUCT( (CapexCategory=$C25)*(AC$4&gt;=CapexMonth) * (AC$4&lt;=DepStop)* ((AC$4-CapexMonth+1)*-DepExp) )</f>
        <v>0</v>
      </c>
      <c r="AD25" s="265" cm="1">
        <f t="array" ref="AD25">SUMPRODUCT( (CapexCategory=$C25)*(AD$4&gt;=CapexMonth) * (AD$4&lt;=DepStop)* ((AD$4-CapexMonth+1)*-DepExp) )</f>
        <v>0</v>
      </c>
      <c r="AE25" s="265" cm="1">
        <f t="array" ref="AE25">SUMPRODUCT( (CapexCategory=$C25)*(AE$4&gt;=CapexMonth) * (AE$4&lt;=DepStop)* ((AE$4-CapexMonth+1)*-DepExp) )</f>
        <v>0</v>
      </c>
      <c r="AF25" s="265" cm="1">
        <f t="array" ref="AF25">SUMPRODUCT( (CapexCategory=$C25)*(AF$4&gt;=CapexMonth) * (AF$4&lt;=DepStop)* ((AF$4-CapexMonth+1)*-DepExp) )</f>
        <v>0</v>
      </c>
      <c r="AG25" s="265" cm="1">
        <f t="array" ref="AG25">SUMPRODUCT( (CapexCategory=$C25)*(AG$4&gt;=CapexMonth) * (AG$4&lt;=DepStop)* ((AG$4-CapexMonth+1)*-DepExp) )</f>
        <v>0</v>
      </c>
      <c r="AH25" s="263" cm="1">
        <f t="array" ref="AH25">SUMPRODUCT( (CapexCategory=$C25)*(AH$4&gt;=CapexMonth) * (AH$4&lt;=DepStop)* ((AH$4-CapexMonth+1)*-DepExp) )</f>
        <v>0</v>
      </c>
      <c r="AI25" s="265" cm="1">
        <f t="array" ref="AI25">SUMPRODUCT( (CapexCategory=$C25)*(AI$4&gt;=CapexMonth) * (AI$4&lt;=DepStop)* ((AI$4-CapexMonth+1)*-DepExp) )</f>
        <v>0</v>
      </c>
      <c r="AJ25" s="265" cm="1">
        <f t="array" ref="AJ25">SUMPRODUCT( (CapexCategory=$C25)*(AJ$4&gt;=CapexMonth) * (AJ$4&lt;=DepStop)* ((AJ$4-CapexMonth+1)*-DepExp) )</f>
        <v>0</v>
      </c>
      <c r="AK25" s="265" cm="1">
        <f t="array" ref="AK25">SUMPRODUCT( (CapexCategory=$C25)*(AK$4&gt;=CapexMonth) * (AK$4&lt;=DepStop)* ((AK$4-CapexMonth+1)*-DepExp) )</f>
        <v>0</v>
      </c>
      <c r="AL25" s="265" cm="1">
        <f t="array" ref="AL25">SUMPRODUCT( (CapexCategory=$C25)*(AL$4&gt;=CapexMonth) * (AL$4&lt;=DepStop)* ((AL$4-CapexMonth+1)*-DepExp) )</f>
        <v>0</v>
      </c>
      <c r="AM25" s="265" cm="1">
        <f t="array" ref="AM25">SUMPRODUCT( (CapexCategory=$C25)*(AM$4&gt;=CapexMonth) * (AM$4&lt;=DepStop)* ((AM$4-CapexMonth+1)*-DepExp) )</f>
        <v>0</v>
      </c>
      <c r="AN25" s="265" cm="1">
        <f t="array" ref="AN25">SUMPRODUCT( (CapexCategory=$C25)*(AN$4&gt;=CapexMonth) * (AN$4&lt;=DepStop)* ((AN$4-CapexMonth+1)*-DepExp) )</f>
        <v>0</v>
      </c>
      <c r="AO25" s="265" cm="1">
        <f t="array" ref="AO25">SUMPRODUCT( (CapexCategory=$C25)*(AO$4&gt;=CapexMonth) * (AO$4&lt;=DepStop)* ((AO$4-CapexMonth+1)*-DepExp) )</f>
        <v>0</v>
      </c>
      <c r="AP25" s="265" cm="1">
        <f t="array" ref="AP25">SUMPRODUCT( (CapexCategory=$C25)*(AP$4&gt;=CapexMonth) * (AP$4&lt;=DepStop)* ((AP$4-CapexMonth+1)*-DepExp) )</f>
        <v>0</v>
      </c>
      <c r="AQ25" s="265" cm="1">
        <f t="array" ref="AQ25">SUMPRODUCT( (CapexCategory=$C25)*(AQ$4&gt;=CapexMonth) * (AQ$4&lt;=DepStop)* ((AQ$4-CapexMonth+1)*-DepExp) )</f>
        <v>0</v>
      </c>
      <c r="AR25" s="265" cm="1">
        <f t="array" ref="AR25">SUMPRODUCT( (CapexCategory=$C25)*(AR$4&gt;=CapexMonth) * (AR$4&lt;=DepStop)* ((AR$4-CapexMonth+1)*-DepExp) )</f>
        <v>0</v>
      </c>
      <c r="AS25" s="265" cm="1">
        <f t="array" ref="AS25">SUMPRODUCT( (CapexCategory=$C25)*(AS$4&gt;=CapexMonth) * (AS$4&lt;=DepStop)* ((AS$4-CapexMonth+1)*-DepExp) )</f>
        <v>0</v>
      </c>
      <c r="AT25" s="263" cm="1">
        <f t="array" ref="AT25">SUMPRODUCT( (CapexCategory=$C25)*(AT$4&gt;=CapexMonth) * (AT$4&lt;=DepStop)* ((AT$4-CapexMonth+1)*-DepExp) )</f>
        <v>0</v>
      </c>
      <c r="AU25" s="265" cm="1">
        <f t="array" ref="AU25">SUMPRODUCT( (CapexCategory=$C25)*(AU$4&gt;=CapexMonth) * (AU$4&lt;=DepStop)* ((AU$4-CapexMonth+1)*-DepExp) )</f>
        <v>0</v>
      </c>
      <c r="AV25" s="265" cm="1">
        <f t="array" ref="AV25">SUMPRODUCT( (CapexCategory=$C25)*(AV$4&gt;=CapexMonth) * (AV$4&lt;=DepStop)* ((AV$4-CapexMonth+1)*-DepExp) )</f>
        <v>0</v>
      </c>
      <c r="AW25" s="265" cm="1">
        <f t="array" ref="AW25">SUMPRODUCT( (CapexCategory=$C25)*(AW$4&gt;=CapexMonth) * (AW$4&lt;=DepStop)* ((AW$4-CapexMonth+1)*-DepExp) )</f>
        <v>0</v>
      </c>
      <c r="AX25" s="265" cm="1">
        <f t="array" ref="AX25">SUMPRODUCT( (CapexCategory=$C25)*(AX$4&gt;=CapexMonth) * (AX$4&lt;=DepStop)* ((AX$4-CapexMonth+1)*-DepExp) )</f>
        <v>0</v>
      </c>
      <c r="AY25" s="265" cm="1">
        <f t="array" ref="AY25">SUMPRODUCT( (CapexCategory=$C25)*(AY$4&gt;=CapexMonth) * (AY$4&lt;=DepStop)* ((AY$4-CapexMonth+1)*-DepExp) )</f>
        <v>0</v>
      </c>
      <c r="AZ25" s="265" cm="1">
        <f t="array" ref="AZ25">SUMPRODUCT( (CapexCategory=$C25)*(AZ$4&gt;=CapexMonth) * (AZ$4&lt;=DepStop)* ((AZ$4-CapexMonth+1)*-DepExp) )</f>
        <v>0</v>
      </c>
      <c r="BA25" s="265" cm="1">
        <f t="array" ref="BA25">SUMPRODUCT( (CapexCategory=$C25)*(BA$4&gt;=CapexMonth) * (BA$4&lt;=DepStop)* ((BA$4-CapexMonth+1)*-DepExp) )</f>
        <v>0</v>
      </c>
      <c r="BB25" s="265" cm="1">
        <f t="array" ref="BB25">SUMPRODUCT( (CapexCategory=$C25)*(BB$4&gt;=CapexMonth) * (BB$4&lt;=DepStop)* ((BB$4-CapexMonth+1)*-DepExp) )</f>
        <v>0</v>
      </c>
      <c r="BC25" s="265" cm="1">
        <f t="array" ref="BC25">SUMPRODUCT( (CapexCategory=$C25)*(BC$4&gt;=CapexMonth) * (BC$4&lt;=DepStop)* ((BC$4-CapexMonth+1)*-DepExp) )</f>
        <v>0</v>
      </c>
      <c r="BD25" s="265" cm="1">
        <f t="array" ref="BD25">SUMPRODUCT( (CapexCategory=$C25)*(BD$4&gt;=CapexMonth) * (BD$4&lt;=DepStop)* ((BD$4-CapexMonth+1)*-DepExp) )</f>
        <v>0</v>
      </c>
      <c r="BE25" s="265" cm="1">
        <f t="array" ref="BE25">SUMPRODUCT( (CapexCategory=$C25)*(BE$4&gt;=CapexMonth) * (BE$4&lt;=DepStop)* ((BE$4-CapexMonth+1)*-DepExp) )</f>
        <v>0</v>
      </c>
      <c r="BF25" s="263" cm="1">
        <f t="array" ref="BF25">SUMPRODUCT( (CapexCategory=$C25)*(BF$4&gt;=CapexMonth) * (BF$4&lt;=DepStop)* ((BF$4-CapexMonth+1)*-DepExp) )</f>
        <v>0</v>
      </c>
      <c r="BG25" s="265" cm="1">
        <f t="array" ref="BG25">SUMPRODUCT( (CapexCategory=$C25)*(BG$4&gt;=CapexMonth) * (BG$4&lt;=DepStop)* ((BG$4-CapexMonth+1)*-DepExp) )</f>
        <v>0</v>
      </c>
      <c r="BH25" s="265" cm="1">
        <f t="array" ref="BH25">SUMPRODUCT( (CapexCategory=$C25)*(BH$4&gt;=CapexMonth) * (BH$4&lt;=DepStop)* ((BH$4-CapexMonth+1)*-DepExp) )</f>
        <v>0</v>
      </c>
      <c r="BI25" s="265" cm="1">
        <f t="array" ref="BI25">SUMPRODUCT( (CapexCategory=$C25)*(BI$4&gt;=CapexMonth) * (BI$4&lt;=DepStop)* ((BI$4-CapexMonth+1)*-DepExp) )</f>
        <v>0</v>
      </c>
      <c r="BJ25" s="265" cm="1">
        <f t="array" ref="BJ25">SUMPRODUCT( (CapexCategory=$C25)*(BJ$4&gt;=CapexMonth) * (BJ$4&lt;=DepStop)* ((BJ$4-CapexMonth+1)*-DepExp) )</f>
        <v>0</v>
      </c>
      <c r="BK25" s="265" cm="1">
        <f t="array" ref="BK25">SUMPRODUCT( (CapexCategory=$C25)*(BK$4&gt;=CapexMonth) * (BK$4&lt;=DepStop)* ((BK$4-CapexMonth+1)*-DepExp) )</f>
        <v>0</v>
      </c>
      <c r="BL25" s="265" cm="1">
        <f t="array" ref="BL25">SUMPRODUCT( (CapexCategory=$C25)*(BL$4&gt;=CapexMonth) * (BL$4&lt;=DepStop)* ((BL$4-CapexMonth+1)*-DepExp) )</f>
        <v>0</v>
      </c>
      <c r="BM25" s="265" cm="1">
        <f t="array" ref="BM25">SUMPRODUCT( (CapexCategory=$C25)*(BM$4&gt;=CapexMonth) * (BM$4&lt;=DepStop)* ((BM$4-CapexMonth+1)*-DepExp) )</f>
        <v>0</v>
      </c>
      <c r="BN25" s="265" cm="1">
        <f t="array" ref="BN25">SUMPRODUCT( (CapexCategory=$C25)*(BN$4&gt;=CapexMonth) * (BN$4&lt;=DepStop)* ((BN$4-CapexMonth+1)*-DepExp) )</f>
        <v>0</v>
      </c>
      <c r="BO25" s="265" cm="1">
        <f t="array" ref="BO25">SUMPRODUCT( (CapexCategory=$C25)*(BO$4&gt;=CapexMonth) * (BO$4&lt;=DepStop)* ((BO$4-CapexMonth+1)*-DepExp) )</f>
        <v>0</v>
      </c>
      <c r="BP25" s="265" cm="1">
        <f t="array" ref="BP25">SUMPRODUCT( (CapexCategory=$C25)*(BP$4&gt;=CapexMonth) * (BP$4&lt;=DepStop)* ((BP$4-CapexMonth+1)*-DepExp) )</f>
        <v>0</v>
      </c>
      <c r="BQ25" s="265" cm="1">
        <f t="array" ref="BQ25">SUMPRODUCT( (CapexCategory=$C25)*(BQ$4&gt;=CapexMonth) * (BQ$4&lt;=DepStop)* ((BQ$4-CapexMonth+1)*-DepExp) )</f>
        <v>0</v>
      </c>
      <c r="BR25" s="263" cm="1">
        <f t="array" ref="BR25">SUMPRODUCT( (CapexCategory=$C25)*(BR$4&gt;=CapexMonth) * (BR$4&lt;=DepStop)* ((BR$4-CapexMonth+1)*-DepExp) )</f>
        <v>0</v>
      </c>
    </row>
    <row r="26" spans="1:70" ht="13.2" hidden="1" x14ac:dyDescent="0.3">
      <c r="C26" s="185" t="s">
        <v>223</v>
      </c>
      <c r="D26" s="14"/>
      <c r="E26" s="263"/>
      <c r="F26" s="263"/>
      <c r="G26" s="263"/>
      <c r="H26" s="263"/>
      <c r="I26" s="263"/>
      <c r="J26" s="264"/>
      <c r="K26" s="265" cm="1">
        <f t="array" ref="K26">SUMPRODUCT( (CapexCategory=$C26)*(K$4&gt;=CapexMonth) * (K$4&lt;=DepStop)* ((K$4-CapexMonth+1)*-DepExp) )</f>
        <v>0</v>
      </c>
      <c r="L26" s="265" cm="1">
        <f t="array" ref="L26">SUMPRODUCT( (CapexCategory=$C26)*(L$4&gt;=CapexMonth) * (L$4&lt;=DepStop)* ((L$4-CapexMonth+1)*-DepExp) )</f>
        <v>0</v>
      </c>
      <c r="M26" s="265" cm="1">
        <f t="array" ref="M26">SUMPRODUCT( (CapexCategory=$C26)*(M$4&gt;=CapexMonth) * (M$4&lt;=DepStop)* ((M$4-CapexMonth+1)*-DepExp) )</f>
        <v>0</v>
      </c>
      <c r="N26" s="265" cm="1">
        <f t="array" ref="N26">SUMPRODUCT( (CapexCategory=$C26)*(N$4&gt;=CapexMonth) * (N$4&lt;=DepStop)* ((N$4-CapexMonth+1)*-DepExp) )</f>
        <v>0</v>
      </c>
      <c r="O26" s="265" cm="1">
        <f t="array" ref="O26">SUMPRODUCT( (CapexCategory=$C26)*(O$4&gt;=CapexMonth) * (O$4&lt;=DepStop)* ((O$4-CapexMonth+1)*-DepExp) )</f>
        <v>0</v>
      </c>
      <c r="P26" s="265" cm="1">
        <f t="array" ref="P26">SUMPRODUCT( (CapexCategory=$C26)*(P$4&gt;=CapexMonth) * (P$4&lt;=DepStop)* ((P$4-CapexMonth+1)*-DepExp) )</f>
        <v>0</v>
      </c>
      <c r="Q26" s="265" cm="1">
        <f t="array" ref="Q26">SUMPRODUCT( (CapexCategory=$C26)*(Q$4&gt;=CapexMonth) * (Q$4&lt;=DepStop)* ((Q$4-CapexMonth+1)*-DepExp) )</f>
        <v>0</v>
      </c>
      <c r="R26" s="265" cm="1">
        <f t="array" ref="R26">SUMPRODUCT( (CapexCategory=$C26)*(R$4&gt;=CapexMonth) * (R$4&lt;=DepStop)* ((R$4-CapexMonth+1)*-DepExp) )</f>
        <v>0</v>
      </c>
      <c r="S26" s="265" cm="1">
        <f t="array" ref="S26">SUMPRODUCT( (CapexCategory=$C26)*(S$4&gt;=CapexMonth) * (S$4&lt;=DepStop)* ((S$4-CapexMonth+1)*-DepExp) )</f>
        <v>0</v>
      </c>
      <c r="T26" s="265" cm="1">
        <f t="array" ref="T26">SUMPRODUCT( (CapexCategory=$C26)*(T$4&gt;=CapexMonth) * (T$4&lt;=DepStop)* ((T$4-CapexMonth+1)*-DepExp) )</f>
        <v>0</v>
      </c>
      <c r="U26" s="265" cm="1">
        <f t="array" ref="U26">SUMPRODUCT( (CapexCategory=$C26)*(U$4&gt;=CapexMonth) * (U$4&lt;=DepStop)* ((U$4-CapexMonth+1)*-DepExp) )</f>
        <v>0</v>
      </c>
      <c r="V26" s="263" cm="1">
        <f t="array" ref="V26">SUMPRODUCT( (CapexCategory=$C26)*(V$4&gt;=CapexMonth) * (V$4&lt;=DepStop)* ((V$4-CapexMonth+1)*-DepExp) )</f>
        <v>0</v>
      </c>
      <c r="W26" s="265" cm="1">
        <f t="array" ref="W26">SUMPRODUCT( (CapexCategory=$C26)*(W$4&gt;=CapexMonth) * (W$4&lt;=DepStop)* ((W$4-CapexMonth+1)*-DepExp) )</f>
        <v>0</v>
      </c>
      <c r="X26" s="265" cm="1">
        <f t="array" ref="X26">SUMPRODUCT( (CapexCategory=$C26)*(X$4&gt;=CapexMonth) * (X$4&lt;=DepStop)* ((X$4-CapexMonth+1)*-DepExp) )</f>
        <v>0</v>
      </c>
      <c r="Y26" s="265" cm="1">
        <f t="array" ref="Y26">SUMPRODUCT( (CapexCategory=$C26)*(Y$4&gt;=CapexMonth) * (Y$4&lt;=DepStop)* ((Y$4-CapexMonth+1)*-DepExp) )</f>
        <v>0</v>
      </c>
      <c r="Z26" s="265" cm="1">
        <f t="array" ref="Z26">SUMPRODUCT( (CapexCategory=$C26)*(Z$4&gt;=CapexMonth) * (Z$4&lt;=DepStop)* ((Z$4-CapexMonth+1)*-DepExp) )</f>
        <v>0</v>
      </c>
      <c r="AA26" s="265" cm="1">
        <f t="array" ref="AA26">SUMPRODUCT( (CapexCategory=$C26)*(AA$4&gt;=CapexMonth) * (AA$4&lt;=DepStop)* ((AA$4-CapexMonth+1)*-DepExp) )</f>
        <v>0</v>
      </c>
      <c r="AB26" s="265" cm="1">
        <f t="array" ref="AB26">SUMPRODUCT( (CapexCategory=$C26)*(AB$4&gt;=CapexMonth) * (AB$4&lt;=DepStop)* ((AB$4-CapexMonth+1)*-DepExp) )</f>
        <v>0</v>
      </c>
      <c r="AC26" s="265" cm="1">
        <f t="array" ref="AC26">SUMPRODUCT( (CapexCategory=$C26)*(AC$4&gt;=CapexMonth) * (AC$4&lt;=DepStop)* ((AC$4-CapexMonth+1)*-DepExp) )</f>
        <v>0</v>
      </c>
      <c r="AD26" s="265" cm="1">
        <f t="array" ref="AD26">SUMPRODUCT( (CapexCategory=$C26)*(AD$4&gt;=CapexMonth) * (AD$4&lt;=DepStop)* ((AD$4-CapexMonth+1)*-DepExp) )</f>
        <v>0</v>
      </c>
      <c r="AE26" s="265" cm="1">
        <f t="array" ref="AE26">SUMPRODUCT( (CapexCategory=$C26)*(AE$4&gt;=CapexMonth) * (AE$4&lt;=DepStop)* ((AE$4-CapexMonth+1)*-DepExp) )</f>
        <v>0</v>
      </c>
      <c r="AF26" s="265" cm="1">
        <f t="array" ref="AF26">SUMPRODUCT( (CapexCategory=$C26)*(AF$4&gt;=CapexMonth) * (AF$4&lt;=DepStop)* ((AF$4-CapexMonth+1)*-DepExp) )</f>
        <v>0</v>
      </c>
      <c r="AG26" s="265" cm="1">
        <f t="array" ref="AG26">SUMPRODUCT( (CapexCategory=$C26)*(AG$4&gt;=CapexMonth) * (AG$4&lt;=DepStop)* ((AG$4-CapexMonth+1)*-DepExp) )</f>
        <v>0</v>
      </c>
      <c r="AH26" s="263" cm="1">
        <f t="array" ref="AH26">SUMPRODUCT( (CapexCategory=$C26)*(AH$4&gt;=CapexMonth) * (AH$4&lt;=DepStop)* ((AH$4-CapexMonth+1)*-DepExp) )</f>
        <v>0</v>
      </c>
      <c r="AI26" s="265" cm="1">
        <f t="array" ref="AI26">SUMPRODUCT( (CapexCategory=$C26)*(AI$4&gt;=CapexMonth) * (AI$4&lt;=DepStop)* ((AI$4-CapexMonth+1)*-DepExp) )</f>
        <v>0</v>
      </c>
      <c r="AJ26" s="265" cm="1">
        <f t="array" ref="AJ26">SUMPRODUCT( (CapexCategory=$C26)*(AJ$4&gt;=CapexMonth) * (AJ$4&lt;=DepStop)* ((AJ$4-CapexMonth+1)*-DepExp) )</f>
        <v>0</v>
      </c>
      <c r="AK26" s="265" cm="1">
        <f t="array" ref="AK26">SUMPRODUCT( (CapexCategory=$C26)*(AK$4&gt;=CapexMonth) * (AK$4&lt;=DepStop)* ((AK$4-CapexMonth+1)*-DepExp) )</f>
        <v>0</v>
      </c>
      <c r="AL26" s="265" cm="1">
        <f t="array" ref="AL26">SUMPRODUCT( (CapexCategory=$C26)*(AL$4&gt;=CapexMonth) * (AL$4&lt;=DepStop)* ((AL$4-CapexMonth+1)*-DepExp) )</f>
        <v>0</v>
      </c>
      <c r="AM26" s="265" cm="1">
        <f t="array" ref="AM26">SUMPRODUCT( (CapexCategory=$C26)*(AM$4&gt;=CapexMonth) * (AM$4&lt;=DepStop)* ((AM$4-CapexMonth+1)*-DepExp) )</f>
        <v>0</v>
      </c>
      <c r="AN26" s="265" cm="1">
        <f t="array" ref="AN26">SUMPRODUCT( (CapexCategory=$C26)*(AN$4&gt;=CapexMonth) * (AN$4&lt;=DepStop)* ((AN$4-CapexMonth+1)*-DepExp) )</f>
        <v>0</v>
      </c>
      <c r="AO26" s="265" cm="1">
        <f t="array" ref="AO26">SUMPRODUCT( (CapexCategory=$C26)*(AO$4&gt;=CapexMonth) * (AO$4&lt;=DepStop)* ((AO$4-CapexMonth+1)*-DepExp) )</f>
        <v>0</v>
      </c>
      <c r="AP26" s="265" cm="1">
        <f t="array" ref="AP26">SUMPRODUCT( (CapexCategory=$C26)*(AP$4&gt;=CapexMonth) * (AP$4&lt;=DepStop)* ((AP$4-CapexMonth+1)*-DepExp) )</f>
        <v>0</v>
      </c>
      <c r="AQ26" s="265" cm="1">
        <f t="array" ref="AQ26">SUMPRODUCT( (CapexCategory=$C26)*(AQ$4&gt;=CapexMonth) * (AQ$4&lt;=DepStop)* ((AQ$4-CapexMonth+1)*-DepExp) )</f>
        <v>0</v>
      </c>
      <c r="AR26" s="265" cm="1">
        <f t="array" ref="AR26">SUMPRODUCT( (CapexCategory=$C26)*(AR$4&gt;=CapexMonth) * (AR$4&lt;=DepStop)* ((AR$4-CapexMonth+1)*-DepExp) )</f>
        <v>0</v>
      </c>
      <c r="AS26" s="265" cm="1">
        <f t="array" ref="AS26">SUMPRODUCT( (CapexCategory=$C26)*(AS$4&gt;=CapexMonth) * (AS$4&lt;=DepStop)* ((AS$4-CapexMonth+1)*-DepExp) )</f>
        <v>0</v>
      </c>
      <c r="AT26" s="263" cm="1">
        <f t="array" ref="AT26">SUMPRODUCT( (CapexCategory=$C26)*(AT$4&gt;=CapexMonth) * (AT$4&lt;=DepStop)* ((AT$4-CapexMonth+1)*-DepExp) )</f>
        <v>0</v>
      </c>
      <c r="AU26" s="265" cm="1">
        <f t="array" ref="AU26">SUMPRODUCT( (CapexCategory=$C26)*(AU$4&gt;=CapexMonth) * (AU$4&lt;=DepStop)* ((AU$4-CapexMonth+1)*-DepExp) )</f>
        <v>0</v>
      </c>
      <c r="AV26" s="265" cm="1">
        <f t="array" ref="AV26">SUMPRODUCT( (CapexCategory=$C26)*(AV$4&gt;=CapexMonth) * (AV$4&lt;=DepStop)* ((AV$4-CapexMonth+1)*-DepExp) )</f>
        <v>0</v>
      </c>
      <c r="AW26" s="265" cm="1">
        <f t="array" ref="AW26">SUMPRODUCT( (CapexCategory=$C26)*(AW$4&gt;=CapexMonth) * (AW$4&lt;=DepStop)* ((AW$4-CapexMonth+1)*-DepExp) )</f>
        <v>0</v>
      </c>
      <c r="AX26" s="265" cm="1">
        <f t="array" ref="AX26">SUMPRODUCT( (CapexCategory=$C26)*(AX$4&gt;=CapexMonth) * (AX$4&lt;=DepStop)* ((AX$4-CapexMonth+1)*-DepExp) )</f>
        <v>0</v>
      </c>
      <c r="AY26" s="265" cm="1">
        <f t="array" ref="AY26">SUMPRODUCT( (CapexCategory=$C26)*(AY$4&gt;=CapexMonth) * (AY$4&lt;=DepStop)* ((AY$4-CapexMonth+1)*-DepExp) )</f>
        <v>0</v>
      </c>
      <c r="AZ26" s="265" cm="1">
        <f t="array" ref="AZ26">SUMPRODUCT( (CapexCategory=$C26)*(AZ$4&gt;=CapexMonth) * (AZ$4&lt;=DepStop)* ((AZ$4-CapexMonth+1)*-DepExp) )</f>
        <v>0</v>
      </c>
      <c r="BA26" s="265" cm="1">
        <f t="array" ref="BA26">SUMPRODUCT( (CapexCategory=$C26)*(BA$4&gt;=CapexMonth) * (BA$4&lt;=DepStop)* ((BA$4-CapexMonth+1)*-DepExp) )</f>
        <v>0</v>
      </c>
      <c r="BB26" s="265" cm="1">
        <f t="array" ref="BB26">SUMPRODUCT( (CapexCategory=$C26)*(BB$4&gt;=CapexMonth) * (BB$4&lt;=DepStop)* ((BB$4-CapexMonth+1)*-DepExp) )</f>
        <v>0</v>
      </c>
      <c r="BC26" s="265" cm="1">
        <f t="array" ref="BC26">SUMPRODUCT( (CapexCategory=$C26)*(BC$4&gt;=CapexMonth) * (BC$4&lt;=DepStop)* ((BC$4-CapexMonth+1)*-DepExp) )</f>
        <v>0</v>
      </c>
      <c r="BD26" s="265" cm="1">
        <f t="array" ref="BD26">SUMPRODUCT( (CapexCategory=$C26)*(BD$4&gt;=CapexMonth) * (BD$4&lt;=DepStop)* ((BD$4-CapexMonth+1)*-DepExp) )</f>
        <v>0</v>
      </c>
      <c r="BE26" s="265" cm="1">
        <f t="array" ref="BE26">SUMPRODUCT( (CapexCategory=$C26)*(BE$4&gt;=CapexMonth) * (BE$4&lt;=DepStop)* ((BE$4-CapexMonth+1)*-DepExp) )</f>
        <v>0</v>
      </c>
      <c r="BF26" s="263" cm="1">
        <f t="array" ref="BF26">SUMPRODUCT( (CapexCategory=$C26)*(BF$4&gt;=CapexMonth) * (BF$4&lt;=DepStop)* ((BF$4-CapexMonth+1)*-DepExp) )</f>
        <v>0</v>
      </c>
      <c r="BG26" s="265" cm="1">
        <f t="array" ref="BG26">SUMPRODUCT( (CapexCategory=$C26)*(BG$4&gt;=CapexMonth) * (BG$4&lt;=DepStop)* ((BG$4-CapexMonth+1)*-DepExp) )</f>
        <v>0</v>
      </c>
      <c r="BH26" s="265" cm="1">
        <f t="array" ref="BH26">SUMPRODUCT( (CapexCategory=$C26)*(BH$4&gt;=CapexMonth) * (BH$4&lt;=DepStop)* ((BH$4-CapexMonth+1)*-DepExp) )</f>
        <v>0</v>
      </c>
      <c r="BI26" s="265" cm="1">
        <f t="array" ref="BI26">SUMPRODUCT( (CapexCategory=$C26)*(BI$4&gt;=CapexMonth) * (BI$4&lt;=DepStop)* ((BI$4-CapexMonth+1)*-DepExp) )</f>
        <v>0</v>
      </c>
      <c r="BJ26" s="265" cm="1">
        <f t="array" ref="BJ26">SUMPRODUCT( (CapexCategory=$C26)*(BJ$4&gt;=CapexMonth) * (BJ$4&lt;=DepStop)* ((BJ$4-CapexMonth+1)*-DepExp) )</f>
        <v>0</v>
      </c>
      <c r="BK26" s="265" cm="1">
        <f t="array" ref="BK26">SUMPRODUCT( (CapexCategory=$C26)*(BK$4&gt;=CapexMonth) * (BK$4&lt;=DepStop)* ((BK$4-CapexMonth+1)*-DepExp) )</f>
        <v>0</v>
      </c>
      <c r="BL26" s="265" cm="1">
        <f t="array" ref="BL26">SUMPRODUCT( (CapexCategory=$C26)*(BL$4&gt;=CapexMonth) * (BL$4&lt;=DepStop)* ((BL$4-CapexMonth+1)*-DepExp) )</f>
        <v>0</v>
      </c>
      <c r="BM26" s="265" cm="1">
        <f t="array" ref="BM26">SUMPRODUCT( (CapexCategory=$C26)*(BM$4&gt;=CapexMonth) * (BM$4&lt;=DepStop)* ((BM$4-CapexMonth+1)*-DepExp) )</f>
        <v>0</v>
      </c>
      <c r="BN26" s="265" cm="1">
        <f t="array" ref="BN26">SUMPRODUCT( (CapexCategory=$C26)*(BN$4&gt;=CapexMonth) * (BN$4&lt;=DepStop)* ((BN$4-CapexMonth+1)*-DepExp) )</f>
        <v>0</v>
      </c>
      <c r="BO26" s="265" cm="1">
        <f t="array" ref="BO26">SUMPRODUCT( (CapexCategory=$C26)*(BO$4&gt;=CapexMonth) * (BO$4&lt;=DepStop)* ((BO$4-CapexMonth+1)*-DepExp) )</f>
        <v>0</v>
      </c>
      <c r="BP26" s="265" cm="1">
        <f t="array" ref="BP26">SUMPRODUCT( (CapexCategory=$C26)*(BP$4&gt;=CapexMonth) * (BP$4&lt;=DepStop)* ((BP$4-CapexMonth+1)*-DepExp) )</f>
        <v>0</v>
      </c>
      <c r="BQ26" s="265" cm="1">
        <f t="array" ref="BQ26">SUMPRODUCT( (CapexCategory=$C26)*(BQ$4&gt;=CapexMonth) * (BQ$4&lt;=DepStop)* ((BQ$4-CapexMonth+1)*-DepExp) )</f>
        <v>0</v>
      </c>
      <c r="BR26" s="263" cm="1">
        <f t="array" ref="BR26">SUMPRODUCT( (CapexCategory=$C26)*(BR$4&gt;=CapexMonth) * (BR$4&lt;=DepStop)* ((BR$4-CapexMonth+1)*-DepExp) )</f>
        <v>0</v>
      </c>
    </row>
    <row r="27" spans="1:70" ht="13.2" hidden="1" x14ac:dyDescent="0.3">
      <c r="C27" s="246" t="s">
        <v>224</v>
      </c>
      <c r="D27" s="14"/>
      <c r="E27" s="247">
        <f t="shared" ref="E27" si="22">V27</f>
        <v>0</v>
      </c>
      <c r="F27" s="247">
        <f t="shared" ref="F27" si="23">AH27</f>
        <v>0</v>
      </c>
      <c r="G27" s="247">
        <f t="shared" ref="G27" si="24">AT27</f>
        <v>0</v>
      </c>
      <c r="H27" s="247">
        <f t="shared" ref="H27" si="25">BF27</f>
        <v>0</v>
      </c>
      <c r="I27" s="247">
        <f t="shared" ref="I27" si="26">BR27</f>
        <v>0</v>
      </c>
      <c r="J27" s="264"/>
      <c r="K27" s="226" cm="1">
        <f t="array" ref="K27">SUMPRODUCT( ((ISBLANK(CapexCategory) + (CapexCategory="Other"))&gt;0) *(K$4&gt;=CapexMonth) * (K$4&lt;=DepStop)* ((K$4-CapexMonth+1)*-DepExp) )</f>
        <v>0</v>
      </c>
      <c r="L27" s="226" cm="1">
        <f t="array" ref="L27">SUMPRODUCT( ((ISBLANK(CapexCategory) + (CapexCategory="Other"))&gt;0) *(L$4&gt;=CapexMonth) * (L$4&lt;=DepStop)* ((L$4-CapexMonth+1)*-DepExp) )</f>
        <v>0</v>
      </c>
      <c r="M27" s="226" cm="1">
        <f t="array" ref="M27">SUMPRODUCT( ((ISBLANK(CapexCategory) + (CapexCategory="Other"))&gt;0) *(M$4&gt;=CapexMonth) * (M$4&lt;=DepStop)* ((M$4-CapexMonth+1)*-DepExp) )</f>
        <v>0</v>
      </c>
      <c r="N27" s="226" cm="1">
        <f t="array" ref="N27">SUMPRODUCT( ((ISBLANK(CapexCategory) + (CapexCategory="Other"))&gt;0) *(N$4&gt;=CapexMonth) * (N$4&lt;=DepStop)* ((N$4-CapexMonth+1)*-DepExp) )</f>
        <v>0</v>
      </c>
      <c r="O27" s="226" cm="1">
        <f t="array" ref="O27">SUMPRODUCT( ((ISBLANK(CapexCategory) + (CapexCategory="Other"))&gt;0) *(O$4&gt;=CapexMonth) * (O$4&lt;=DepStop)* ((O$4-CapexMonth+1)*-DepExp) )</f>
        <v>0</v>
      </c>
      <c r="P27" s="226" cm="1">
        <f t="array" ref="P27">SUMPRODUCT( ((ISBLANK(CapexCategory) + (CapexCategory="Other"))&gt;0) *(P$4&gt;=CapexMonth) * (P$4&lt;=DepStop)* ((P$4-CapexMonth+1)*-DepExp) )</f>
        <v>0</v>
      </c>
      <c r="Q27" s="226" cm="1">
        <f t="array" ref="Q27">SUMPRODUCT( ((ISBLANK(CapexCategory) + (CapexCategory="Other"))&gt;0) *(Q$4&gt;=CapexMonth) * (Q$4&lt;=DepStop)* ((Q$4-CapexMonth+1)*-DepExp) )</f>
        <v>0</v>
      </c>
      <c r="R27" s="226" cm="1">
        <f t="array" ref="R27">SUMPRODUCT( ((ISBLANK(CapexCategory) + (CapexCategory="Other"))&gt;0) *(R$4&gt;=CapexMonth) * (R$4&lt;=DepStop)* ((R$4-CapexMonth+1)*-DepExp) )</f>
        <v>0</v>
      </c>
      <c r="S27" s="226" cm="1">
        <f t="array" ref="S27">SUMPRODUCT( ((ISBLANK(CapexCategory) + (CapexCategory="Other"))&gt;0) *(S$4&gt;=CapexMonth) * (S$4&lt;=DepStop)* ((S$4-CapexMonth+1)*-DepExp) )</f>
        <v>0</v>
      </c>
      <c r="T27" s="226" cm="1">
        <f t="array" ref="T27">SUMPRODUCT( ((ISBLANK(CapexCategory) + (CapexCategory="Other"))&gt;0) *(T$4&gt;=CapexMonth) * (T$4&lt;=DepStop)* ((T$4-CapexMonth+1)*-DepExp) )</f>
        <v>0</v>
      </c>
      <c r="U27" s="226" cm="1">
        <f t="array" ref="U27">SUMPRODUCT( ((ISBLANK(CapexCategory) + (CapexCategory="Other"))&gt;0) *(U$4&gt;=CapexMonth) * (U$4&lt;=DepStop)* ((U$4-CapexMonth+1)*-DepExp) )</f>
        <v>0</v>
      </c>
      <c r="V27" s="247" cm="1">
        <f t="array" ref="V27">SUMPRODUCT( ((ISBLANK(CapexCategory) + (CapexCategory="Other"))&gt;0) *(V$4&gt;=CapexMonth) * (V$4&lt;=DepStop)* ((V$4-CapexMonth+1)*-DepExp) )</f>
        <v>0</v>
      </c>
      <c r="W27" s="226" cm="1">
        <f t="array" ref="W27">SUMPRODUCT( ((ISBLANK(CapexCategory) + (CapexCategory="Other"))&gt;0) *(W$4&gt;=CapexMonth) * (W$4&lt;=DepStop)* ((W$4-CapexMonth+1)*-DepExp) )</f>
        <v>0</v>
      </c>
      <c r="X27" s="226" cm="1">
        <f t="array" ref="X27">SUMPRODUCT( ((ISBLANK(CapexCategory) + (CapexCategory="Other"))&gt;0) *(X$4&gt;=CapexMonth) * (X$4&lt;=DepStop)* ((X$4-CapexMonth+1)*-DepExp) )</f>
        <v>0</v>
      </c>
      <c r="Y27" s="226" cm="1">
        <f t="array" ref="Y27">SUMPRODUCT( ((ISBLANK(CapexCategory) + (CapexCategory="Other"))&gt;0) *(Y$4&gt;=CapexMonth) * (Y$4&lt;=DepStop)* ((Y$4-CapexMonth+1)*-DepExp) )</f>
        <v>0</v>
      </c>
      <c r="Z27" s="226" cm="1">
        <f t="array" ref="Z27">SUMPRODUCT( ((ISBLANK(CapexCategory) + (CapexCategory="Other"))&gt;0) *(Z$4&gt;=CapexMonth) * (Z$4&lt;=DepStop)* ((Z$4-CapexMonth+1)*-DepExp) )</f>
        <v>0</v>
      </c>
      <c r="AA27" s="226" cm="1">
        <f t="array" ref="AA27">SUMPRODUCT( ((ISBLANK(CapexCategory) + (CapexCategory="Other"))&gt;0) *(AA$4&gt;=CapexMonth) * (AA$4&lt;=DepStop)* ((AA$4-CapexMonth+1)*-DepExp) )</f>
        <v>0</v>
      </c>
      <c r="AB27" s="226" cm="1">
        <f t="array" ref="AB27">SUMPRODUCT( ((ISBLANK(CapexCategory) + (CapexCategory="Other"))&gt;0) *(AB$4&gt;=CapexMonth) * (AB$4&lt;=DepStop)* ((AB$4-CapexMonth+1)*-DepExp) )</f>
        <v>0</v>
      </c>
      <c r="AC27" s="226" cm="1">
        <f t="array" ref="AC27">SUMPRODUCT( ((ISBLANK(CapexCategory) + (CapexCategory="Other"))&gt;0) *(AC$4&gt;=CapexMonth) * (AC$4&lt;=DepStop)* ((AC$4-CapexMonth+1)*-DepExp) )</f>
        <v>0</v>
      </c>
      <c r="AD27" s="226" cm="1">
        <f t="array" ref="AD27">SUMPRODUCT( ((ISBLANK(CapexCategory) + (CapexCategory="Other"))&gt;0) *(AD$4&gt;=CapexMonth) * (AD$4&lt;=DepStop)* ((AD$4-CapexMonth+1)*-DepExp) )</f>
        <v>0</v>
      </c>
      <c r="AE27" s="226" cm="1">
        <f t="array" ref="AE27">SUMPRODUCT( ((ISBLANK(CapexCategory) + (CapexCategory="Other"))&gt;0) *(AE$4&gt;=CapexMonth) * (AE$4&lt;=DepStop)* ((AE$4-CapexMonth+1)*-DepExp) )</f>
        <v>0</v>
      </c>
      <c r="AF27" s="226" cm="1">
        <f t="array" ref="AF27">SUMPRODUCT( ((ISBLANK(CapexCategory) + (CapexCategory="Other"))&gt;0) *(AF$4&gt;=CapexMonth) * (AF$4&lt;=DepStop)* ((AF$4-CapexMonth+1)*-DepExp) )</f>
        <v>0</v>
      </c>
      <c r="AG27" s="226" cm="1">
        <f t="array" ref="AG27">SUMPRODUCT( ((ISBLANK(CapexCategory) + (CapexCategory="Other"))&gt;0) *(AG$4&gt;=CapexMonth) * (AG$4&lt;=DepStop)* ((AG$4-CapexMonth+1)*-DepExp) )</f>
        <v>0</v>
      </c>
      <c r="AH27" s="247" cm="1">
        <f t="array" ref="AH27">SUMPRODUCT( ((ISBLANK(CapexCategory) + (CapexCategory="Other"))&gt;0) *(AH$4&gt;=CapexMonth) * (AH$4&lt;=DepStop)* ((AH$4-CapexMonth+1)*-DepExp) )</f>
        <v>0</v>
      </c>
      <c r="AI27" s="226" cm="1">
        <f t="array" ref="AI27">SUMPRODUCT( ((ISBLANK(CapexCategory) + (CapexCategory="Other"))&gt;0) *(AI$4&gt;=CapexMonth) * (AI$4&lt;=DepStop)* ((AI$4-CapexMonth+1)*-DepExp) )</f>
        <v>0</v>
      </c>
      <c r="AJ27" s="226" cm="1">
        <f t="array" ref="AJ27">SUMPRODUCT( ((ISBLANK(CapexCategory) + (CapexCategory="Other"))&gt;0) *(AJ$4&gt;=CapexMonth) * (AJ$4&lt;=DepStop)* ((AJ$4-CapexMonth+1)*-DepExp) )</f>
        <v>0</v>
      </c>
      <c r="AK27" s="226" cm="1">
        <f t="array" ref="AK27">SUMPRODUCT( ((ISBLANK(CapexCategory) + (CapexCategory="Other"))&gt;0) *(AK$4&gt;=CapexMonth) * (AK$4&lt;=DepStop)* ((AK$4-CapexMonth+1)*-DepExp) )</f>
        <v>0</v>
      </c>
      <c r="AL27" s="226" cm="1">
        <f t="array" ref="AL27">SUMPRODUCT( ((ISBLANK(CapexCategory) + (CapexCategory="Other"))&gt;0) *(AL$4&gt;=CapexMonth) * (AL$4&lt;=DepStop)* ((AL$4-CapexMonth+1)*-DepExp) )</f>
        <v>0</v>
      </c>
      <c r="AM27" s="226" cm="1">
        <f t="array" ref="AM27">SUMPRODUCT( ((ISBLANK(CapexCategory) + (CapexCategory="Other"))&gt;0) *(AM$4&gt;=CapexMonth) * (AM$4&lt;=DepStop)* ((AM$4-CapexMonth+1)*-DepExp) )</f>
        <v>0</v>
      </c>
      <c r="AN27" s="226" cm="1">
        <f t="array" ref="AN27">SUMPRODUCT( ((ISBLANK(CapexCategory) + (CapexCategory="Other"))&gt;0) *(AN$4&gt;=CapexMonth) * (AN$4&lt;=DepStop)* ((AN$4-CapexMonth+1)*-DepExp) )</f>
        <v>0</v>
      </c>
      <c r="AO27" s="226" cm="1">
        <f t="array" ref="AO27">SUMPRODUCT( ((ISBLANK(CapexCategory) + (CapexCategory="Other"))&gt;0) *(AO$4&gt;=CapexMonth) * (AO$4&lt;=DepStop)* ((AO$4-CapexMonth+1)*-DepExp) )</f>
        <v>0</v>
      </c>
      <c r="AP27" s="226" cm="1">
        <f t="array" ref="AP27">SUMPRODUCT( ((ISBLANK(CapexCategory) + (CapexCategory="Other"))&gt;0) *(AP$4&gt;=CapexMonth) * (AP$4&lt;=DepStop)* ((AP$4-CapexMonth+1)*-DepExp) )</f>
        <v>0</v>
      </c>
      <c r="AQ27" s="226" cm="1">
        <f t="array" ref="AQ27">SUMPRODUCT( ((ISBLANK(CapexCategory) + (CapexCategory="Other"))&gt;0) *(AQ$4&gt;=CapexMonth) * (AQ$4&lt;=DepStop)* ((AQ$4-CapexMonth+1)*-DepExp) )</f>
        <v>0</v>
      </c>
      <c r="AR27" s="226" cm="1">
        <f t="array" ref="AR27">SUMPRODUCT( ((ISBLANK(CapexCategory) + (CapexCategory="Other"))&gt;0) *(AR$4&gt;=CapexMonth) * (AR$4&lt;=DepStop)* ((AR$4-CapexMonth+1)*-DepExp) )</f>
        <v>0</v>
      </c>
      <c r="AS27" s="226" cm="1">
        <f t="array" ref="AS27">SUMPRODUCT( ((ISBLANK(CapexCategory) + (CapexCategory="Other"))&gt;0) *(AS$4&gt;=CapexMonth) * (AS$4&lt;=DepStop)* ((AS$4-CapexMonth+1)*-DepExp) )</f>
        <v>0</v>
      </c>
      <c r="AT27" s="247" cm="1">
        <f t="array" ref="AT27">SUMPRODUCT( ((ISBLANK(CapexCategory) + (CapexCategory="Other"))&gt;0) *(AT$4&gt;=CapexMonth) * (AT$4&lt;=DepStop)* ((AT$4-CapexMonth+1)*-DepExp) )</f>
        <v>0</v>
      </c>
      <c r="AU27" s="226" cm="1">
        <f t="array" ref="AU27">SUMPRODUCT( ((ISBLANK(CapexCategory) + (CapexCategory="Other"))&gt;0) *(AU$4&gt;=CapexMonth) * (AU$4&lt;=DepStop)* ((AU$4-CapexMonth+1)*-DepExp) )</f>
        <v>0</v>
      </c>
      <c r="AV27" s="226" cm="1">
        <f t="array" ref="AV27">SUMPRODUCT( ((ISBLANK(CapexCategory) + (CapexCategory="Other"))&gt;0) *(AV$4&gt;=CapexMonth) * (AV$4&lt;=DepStop)* ((AV$4-CapexMonth+1)*-DepExp) )</f>
        <v>0</v>
      </c>
      <c r="AW27" s="226" cm="1">
        <f t="array" ref="AW27">SUMPRODUCT( ((ISBLANK(CapexCategory) + (CapexCategory="Other"))&gt;0) *(AW$4&gt;=CapexMonth) * (AW$4&lt;=DepStop)* ((AW$4-CapexMonth+1)*-DepExp) )</f>
        <v>0</v>
      </c>
      <c r="AX27" s="226" cm="1">
        <f t="array" ref="AX27">SUMPRODUCT( ((ISBLANK(CapexCategory) + (CapexCategory="Other"))&gt;0) *(AX$4&gt;=CapexMonth) * (AX$4&lt;=DepStop)* ((AX$4-CapexMonth+1)*-DepExp) )</f>
        <v>0</v>
      </c>
      <c r="AY27" s="226" cm="1">
        <f t="array" ref="AY27">SUMPRODUCT( ((ISBLANK(CapexCategory) + (CapexCategory="Other"))&gt;0) *(AY$4&gt;=CapexMonth) * (AY$4&lt;=DepStop)* ((AY$4-CapexMonth+1)*-DepExp) )</f>
        <v>0</v>
      </c>
      <c r="AZ27" s="226" cm="1">
        <f t="array" ref="AZ27">SUMPRODUCT( ((ISBLANK(CapexCategory) + (CapexCategory="Other"))&gt;0) *(AZ$4&gt;=CapexMonth) * (AZ$4&lt;=DepStop)* ((AZ$4-CapexMonth+1)*-DepExp) )</f>
        <v>0</v>
      </c>
      <c r="BA27" s="226" cm="1">
        <f t="array" ref="BA27">SUMPRODUCT( ((ISBLANK(CapexCategory) + (CapexCategory="Other"))&gt;0) *(BA$4&gt;=CapexMonth) * (BA$4&lt;=DepStop)* ((BA$4-CapexMonth+1)*-DepExp) )</f>
        <v>0</v>
      </c>
      <c r="BB27" s="226" cm="1">
        <f t="array" ref="BB27">SUMPRODUCT( ((ISBLANK(CapexCategory) + (CapexCategory="Other"))&gt;0) *(BB$4&gt;=CapexMonth) * (BB$4&lt;=DepStop)* ((BB$4-CapexMonth+1)*-DepExp) )</f>
        <v>0</v>
      </c>
      <c r="BC27" s="226" cm="1">
        <f t="array" ref="BC27">SUMPRODUCT( ((ISBLANK(CapexCategory) + (CapexCategory="Other"))&gt;0) *(BC$4&gt;=CapexMonth) * (BC$4&lt;=DepStop)* ((BC$4-CapexMonth+1)*-DepExp) )</f>
        <v>0</v>
      </c>
      <c r="BD27" s="226" cm="1">
        <f t="array" ref="BD27">SUMPRODUCT( ((ISBLANK(CapexCategory) + (CapexCategory="Other"))&gt;0) *(BD$4&gt;=CapexMonth) * (BD$4&lt;=DepStop)* ((BD$4-CapexMonth+1)*-DepExp) )</f>
        <v>0</v>
      </c>
      <c r="BE27" s="226" cm="1">
        <f t="array" ref="BE27">SUMPRODUCT( ((ISBLANK(CapexCategory) + (CapexCategory="Other"))&gt;0) *(BE$4&gt;=CapexMonth) * (BE$4&lt;=DepStop)* ((BE$4-CapexMonth+1)*-DepExp) )</f>
        <v>0</v>
      </c>
      <c r="BF27" s="247" cm="1">
        <f t="array" ref="BF27">SUMPRODUCT( ((ISBLANK(CapexCategory) + (CapexCategory="Other"))&gt;0) *(BF$4&gt;=CapexMonth) * (BF$4&lt;=DepStop)* ((BF$4-CapexMonth+1)*-DepExp) )</f>
        <v>0</v>
      </c>
      <c r="BG27" s="226" cm="1">
        <f t="array" ref="BG27">SUMPRODUCT( ((ISBLANK(CapexCategory) + (CapexCategory="Other"))&gt;0) *(BG$4&gt;=CapexMonth) * (BG$4&lt;=DepStop)* ((BG$4-CapexMonth+1)*-DepExp) )</f>
        <v>0</v>
      </c>
      <c r="BH27" s="226" cm="1">
        <f t="array" ref="BH27">SUMPRODUCT( ((ISBLANK(CapexCategory) + (CapexCategory="Other"))&gt;0) *(BH$4&gt;=CapexMonth) * (BH$4&lt;=DepStop)* ((BH$4-CapexMonth+1)*-DepExp) )</f>
        <v>0</v>
      </c>
      <c r="BI27" s="226" cm="1">
        <f t="array" ref="BI27">SUMPRODUCT( ((ISBLANK(CapexCategory) + (CapexCategory="Other"))&gt;0) *(BI$4&gt;=CapexMonth) * (BI$4&lt;=DepStop)* ((BI$4-CapexMonth+1)*-DepExp) )</f>
        <v>0</v>
      </c>
      <c r="BJ27" s="226" cm="1">
        <f t="array" ref="BJ27">SUMPRODUCT( ((ISBLANK(CapexCategory) + (CapexCategory="Other"))&gt;0) *(BJ$4&gt;=CapexMonth) * (BJ$4&lt;=DepStop)* ((BJ$4-CapexMonth+1)*-DepExp) )</f>
        <v>0</v>
      </c>
      <c r="BK27" s="226" cm="1">
        <f t="array" ref="BK27">SUMPRODUCT( ((ISBLANK(CapexCategory) + (CapexCategory="Other"))&gt;0) *(BK$4&gt;=CapexMonth) * (BK$4&lt;=DepStop)* ((BK$4-CapexMonth+1)*-DepExp) )</f>
        <v>0</v>
      </c>
      <c r="BL27" s="226" cm="1">
        <f t="array" ref="BL27">SUMPRODUCT( ((ISBLANK(CapexCategory) + (CapexCategory="Other"))&gt;0) *(BL$4&gt;=CapexMonth) * (BL$4&lt;=DepStop)* ((BL$4-CapexMonth+1)*-DepExp) )</f>
        <v>0</v>
      </c>
      <c r="BM27" s="226" cm="1">
        <f t="array" ref="BM27">SUMPRODUCT( ((ISBLANK(CapexCategory) + (CapexCategory="Other"))&gt;0) *(BM$4&gt;=CapexMonth) * (BM$4&lt;=DepStop)* ((BM$4-CapexMonth+1)*-DepExp) )</f>
        <v>0</v>
      </c>
      <c r="BN27" s="226" cm="1">
        <f t="array" ref="BN27">SUMPRODUCT( ((ISBLANK(CapexCategory) + (CapexCategory="Other"))&gt;0) *(BN$4&gt;=CapexMonth) * (BN$4&lt;=DepStop)* ((BN$4-CapexMonth+1)*-DepExp) )</f>
        <v>0</v>
      </c>
      <c r="BO27" s="226" cm="1">
        <f t="array" ref="BO27">SUMPRODUCT( ((ISBLANK(CapexCategory) + (CapexCategory="Other"))&gt;0) *(BO$4&gt;=CapexMonth) * (BO$4&lt;=DepStop)* ((BO$4-CapexMonth+1)*-DepExp) )</f>
        <v>0</v>
      </c>
      <c r="BP27" s="226" cm="1">
        <f t="array" ref="BP27">SUMPRODUCT( ((ISBLANK(CapexCategory) + (CapexCategory="Other"))&gt;0) *(BP$4&gt;=CapexMonth) * (BP$4&lt;=DepStop)* ((BP$4-CapexMonth+1)*-DepExp) )</f>
        <v>0</v>
      </c>
      <c r="BQ27" s="226" cm="1">
        <f t="array" ref="BQ27">SUMPRODUCT( ((ISBLANK(CapexCategory) + (CapexCategory="Other"))&gt;0) *(BQ$4&gt;=CapexMonth) * (BQ$4&lt;=DepStop)* ((BQ$4-CapexMonth+1)*-DepExp) )</f>
        <v>0</v>
      </c>
      <c r="BR27" s="247" cm="1">
        <f t="array" ref="BR27">SUMPRODUCT( ((ISBLANK(CapexCategory) + (CapexCategory="Other"))&gt;0) *(BR$4&gt;=CapexMonth) * (BR$4&lt;=DepStop)* ((BR$4-CapexMonth+1)*-DepExp) )</f>
        <v>0</v>
      </c>
    </row>
    <row r="28" spans="1:70" s="175" customFormat="1" ht="13.2" x14ac:dyDescent="0.3">
      <c r="A28" s="40"/>
      <c r="B28" s="13"/>
      <c r="C28" s="267" t="s">
        <v>225</v>
      </c>
      <c r="D28" s="199"/>
      <c r="E28" s="222">
        <f>V28</f>
        <v>-50</v>
      </c>
      <c r="F28" s="222">
        <f>AH28</f>
        <v>0</v>
      </c>
      <c r="G28" s="222">
        <f>AT28</f>
        <v>0</v>
      </c>
      <c r="H28" s="222">
        <f>BF28</f>
        <v>0</v>
      </c>
      <c r="I28" s="222">
        <f>BR28</f>
        <v>0</v>
      </c>
      <c r="J28" s="264"/>
      <c r="K28" s="223">
        <f t="shared" ref="K28:BR28" si="27">SUM(K22:K27)</f>
        <v>-4</v>
      </c>
      <c r="L28" s="223">
        <f t="shared" si="27"/>
        <v>-8</v>
      </c>
      <c r="M28" s="223">
        <f t="shared" si="27"/>
        <v>-12</v>
      </c>
      <c r="N28" s="223">
        <f t="shared" si="27"/>
        <v>-16</v>
      </c>
      <c r="O28" s="223">
        <f t="shared" si="27"/>
        <v>-20</v>
      </c>
      <c r="P28" s="223">
        <f t="shared" si="27"/>
        <v>-31.142857142857142</v>
      </c>
      <c r="Q28" s="223">
        <f t="shared" si="27"/>
        <v>-42.285714285714285</v>
      </c>
      <c r="R28" s="223">
        <f t="shared" si="27"/>
        <v>-53.428571428571431</v>
      </c>
      <c r="S28" s="223">
        <f t="shared" si="27"/>
        <v>-64.571428571428569</v>
      </c>
      <c r="T28" s="223">
        <f t="shared" si="27"/>
        <v>-75.714285714285722</v>
      </c>
      <c r="U28" s="223">
        <f t="shared" si="27"/>
        <v>-42.857142857142861</v>
      </c>
      <c r="V28" s="222">
        <f t="shared" si="27"/>
        <v>-50</v>
      </c>
      <c r="W28" s="223">
        <f t="shared" si="27"/>
        <v>0</v>
      </c>
      <c r="X28" s="223">
        <f t="shared" si="27"/>
        <v>0</v>
      </c>
      <c r="Y28" s="223">
        <f t="shared" si="27"/>
        <v>0</v>
      </c>
      <c r="Z28" s="223">
        <f t="shared" si="27"/>
        <v>0</v>
      </c>
      <c r="AA28" s="223">
        <f t="shared" si="27"/>
        <v>0</v>
      </c>
      <c r="AB28" s="223">
        <f t="shared" si="27"/>
        <v>0</v>
      </c>
      <c r="AC28" s="223">
        <f t="shared" si="27"/>
        <v>0</v>
      </c>
      <c r="AD28" s="223">
        <f t="shared" si="27"/>
        <v>0</v>
      </c>
      <c r="AE28" s="223">
        <f t="shared" si="27"/>
        <v>0</v>
      </c>
      <c r="AF28" s="223">
        <f t="shared" si="27"/>
        <v>0</v>
      </c>
      <c r="AG28" s="223">
        <f t="shared" si="27"/>
        <v>0</v>
      </c>
      <c r="AH28" s="222">
        <f t="shared" si="27"/>
        <v>0</v>
      </c>
      <c r="AI28" s="223">
        <f t="shared" si="27"/>
        <v>0</v>
      </c>
      <c r="AJ28" s="223">
        <f t="shared" si="27"/>
        <v>0</v>
      </c>
      <c r="AK28" s="223">
        <f t="shared" si="27"/>
        <v>0</v>
      </c>
      <c r="AL28" s="223">
        <f t="shared" si="27"/>
        <v>0</v>
      </c>
      <c r="AM28" s="223">
        <f t="shared" si="27"/>
        <v>0</v>
      </c>
      <c r="AN28" s="223">
        <f t="shared" si="27"/>
        <v>0</v>
      </c>
      <c r="AO28" s="223">
        <f t="shared" si="27"/>
        <v>0</v>
      </c>
      <c r="AP28" s="223">
        <f t="shared" si="27"/>
        <v>0</v>
      </c>
      <c r="AQ28" s="223">
        <f t="shared" si="27"/>
        <v>0</v>
      </c>
      <c r="AR28" s="223">
        <f t="shared" si="27"/>
        <v>0</v>
      </c>
      <c r="AS28" s="223">
        <f t="shared" si="27"/>
        <v>0</v>
      </c>
      <c r="AT28" s="222">
        <f t="shared" si="27"/>
        <v>0</v>
      </c>
      <c r="AU28" s="223">
        <f t="shared" si="27"/>
        <v>0</v>
      </c>
      <c r="AV28" s="223">
        <f t="shared" si="27"/>
        <v>0</v>
      </c>
      <c r="AW28" s="223">
        <f t="shared" si="27"/>
        <v>0</v>
      </c>
      <c r="AX28" s="223">
        <f t="shared" si="27"/>
        <v>0</v>
      </c>
      <c r="AY28" s="223">
        <f t="shared" si="27"/>
        <v>0</v>
      </c>
      <c r="AZ28" s="223">
        <f t="shared" si="27"/>
        <v>0</v>
      </c>
      <c r="BA28" s="223">
        <f t="shared" si="27"/>
        <v>0</v>
      </c>
      <c r="BB28" s="223">
        <f t="shared" si="27"/>
        <v>0</v>
      </c>
      <c r="BC28" s="223">
        <f t="shared" si="27"/>
        <v>0</v>
      </c>
      <c r="BD28" s="223">
        <f t="shared" si="27"/>
        <v>0</v>
      </c>
      <c r="BE28" s="223">
        <f t="shared" si="27"/>
        <v>0</v>
      </c>
      <c r="BF28" s="222">
        <f t="shared" si="27"/>
        <v>0</v>
      </c>
      <c r="BG28" s="223">
        <f t="shared" si="27"/>
        <v>0</v>
      </c>
      <c r="BH28" s="223">
        <f t="shared" si="27"/>
        <v>0</v>
      </c>
      <c r="BI28" s="223">
        <f t="shared" si="27"/>
        <v>0</v>
      </c>
      <c r="BJ28" s="223">
        <f t="shared" si="27"/>
        <v>0</v>
      </c>
      <c r="BK28" s="223">
        <f t="shared" si="27"/>
        <v>0</v>
      </c>
      <c r="BL28" s="223">
        <f t="shared" si="27"/>
        <v>0</v>
      </c>
      <c r="BM28" s="223">
        <f t="shared" si="27"/>
        <v>0</v>
      </c>
      <c r="BN28" s="223">
        <f t="shared" si="27"/>
        <v>0</v>
      </c>
      <c r="BO28" s="223">
        <f t="shared" si="27"/>
        <v>0</v>
      </c>
      <c r="BP28" s="223">
        <f t="shared" si="27"/>
        <v>0</v>
      </c>
      <c r="BQ28" s="223">
        <f t="shared" si="27"/>
        <v>0</v>
      </c>
      <c r="BR28" s="222">
        <f t="shared" si="27"/>
        <v>0</v>
      </c>
    </row>
    <row r="29" spans="1:70" ht="13.2" hidden="1" x14ac:dyDescent="0.3">
      <c r="E29" s="248"/>
      <c r="F29" s="248"/>
      <c r="G29" s="248"/>
      <c r="H29" s="248"/>
      <c r="I29" s="248"/>
      <c r="J29" s="264"/>
      <c r="K29" s="248"/>
      <c r="L29" s="248"/>
      <c r="M29" s="248"/>
      <c r="N29" s="248"/>
      <c r="O29" s="248"/>
      <c r="P29" s="248"/>
      <c r="Q29" s="248"/>
      <c r="R29" s="248"/>
      <c r="S29" s="248"/>
      <c r="T29" s="248"/>
      <c r="U29" s="248"/>
      <c r="V29" s="248"/>
      <c r="W29" s="248"/>
      <c r="X29" s="248"/>
      <c r="Y29" s="248"/>
      <c r="Z29" s="248"/>
      <c r="AA29" s="248"/>
      <c r="AB29" s="248"/>
      <c r="AC29" s="248"/>
      <c r="AD29" s="248"/>
      <c r="AE29" s="248"/>
      <c r="AF29" s="248"/>
      <c r="AG29" s="248"/>
      <c r="AH29" s="248"/>
      <c r="AI29" s="248"/>
      <c r="AJ29" s="248"/>
      <c r="AK29" s="248"/>
      <c r="AL29" s="248"/>
      <c r="AM29" s="248"/>
      <c r="AN29" s="248"/>
      <c r="AO29" s="248"/>
      <c r="AP29" s="248"/>
      <c r="AQ29" s="248"/>
      <c r="AR29" s="248"/>
      <c r="AS29" s="248"/>
      <c r="AT29" s="248"/>
      <c r="AU29" s="248"/>
      <c r="AV29" s="248"/>
      <c r="AW29" s="248"/>
      <c r="AX29" s="248"/>
      <c r="AY29" s="248"/>
      <c r="AZ29" s="248"/>
      <c r="BA29" s="248"/>
      <c r="BB29" s="248"/>
      <c r="BC29" s="248"/>
      <c r="BD29" s="248"/>
      <c r="BE29" s="248"/>
      <c r="BF29" s="248"/>
      <c r="BG29" s="248"/>
      <c r="BH29" s="248"/>
      <c r="BI29" s="248"/>
      <c r="BJ29" s="248"/>
      <c r="BK29" s="248"/>
      <c r="BL29" s="248"/>
      <c r="BM29" s="248"/>
      <c r="BN29" s="248"/>
      <c r="BO29" s="248"/>
      <c r="BP29" s="248"/>
      <c r="BQ29" s="248"/>
      <c r="BR29" s="248"/>
    </row>
    <row r="30" spans="1:70" ht="13.2" hidden="1" x14ac:dyDescent="0.3">
      <c r="C30" s="185" t="s">
        <v>219</v>
      </c>
      <c r="D30" s="14"/>
      <c r="E30" s="263">
        <f t="shared" ref="E30:E36" si="28">V30</f>
        <v>0</v>
      </c>
      <c r="F30" s="263">
        <f t="shared" ref="F30:F36" si="29">AH30</f>
        <v>0</v>
      </c>
      <c r="G30" s="263">
        <f t="shared" ref="G30:G36" si="30">AT30</f>
        <v>0</v>
      </c>
      <c r="H30" s="263">
        <f t="shared" ref="H30:H36" si="31">BF30</f>
        <v>0</v>
      </c>
      <c r="I30" s="263">
        <f t="shared" ref="I30:I36" si="32">BR30</f>
        <v>0</v>
      </c>
      <c r="J30" s="264"/>
      <c r="K30" s="265" cm="1">
        <f t="array" ref="K30">SUMPRODUCT(    (CapexCategory=$C30)*  (K$4&gt;=CapexMonth) *(K$4&lt;=SalOff) * CapexAmount)</f>
        <v>0</v>
      </c>
      <c r="L30" s="265" cm="1">
        <f t="array" ref="L30">SUMPRODUCT(    (CapexCategory=$C30)*  (L$4&gt;=CapexMonth) *(L$4&lt;=SalOff) * CapexAmount)</f>
        <v>0</v>
      </c>
      <c r="M30" s="265" cm="1">
        <f t="array" ref="M30">SUMPRODUCT(    (CapexCategory=$C30)*  (M$4&gt;=CapexMonth) *(M$4&lt;=SalOff) * CapexAmount)</f>
        <v>0</v>
      </c>
      <c r="N30" s="265" cm="1">
        <f t="array" ref="N30">SUMPRODUCT(    (CapexCategory=$C30)*  (N$4&gt;=CapexMonth) *(N$4&lt;=SalOff) * CapexAmount)</f>
        <v>0</v>
      </c>
      <c r="O30" s="265" cm="1">
        <f t="array" ref="O30">SUMPRODUCT(    (CapexCategory=$C30)*  (O$4&gt;=CapexMonth) *(O$4&lt;=SalOff) * CapexAmount)</f>
        <v>0</v>
      </c>
      <c r="P30" s="265" cm="1">
        <f t="array" ref="P30">SUMPRODUCT(    (CapexCategory=$C30)*  (P$4&gt;=CapexMonth) *(P$4&lt;=SalOff) * CapexAmount)</f>
        <v>0</v>
      </c>
      <c r="Q30" s="265" cm="1">
        <f t="array" ref="Q30">SUMPRODUCT(    (CapexCategory=$C30)*  (Q$4&gt;=CapexMonth) *(Q$4&lt;=SalOff) * CapexAmount)</f>
        <v>0</v>
      </c>
      <c r="R30" s="265" cm="1">
        <f t="array" ref="R30">SUMPRODUCT(    (CapexCategory=$C30)*  (R$4&gt;=CapexMonth) *(R$4&lt;=SalOff) * CapexAmount)</f>
        <v>0</v>
      </c>
      <c r="S30" s="265" cm="1">
        <f t="array" ref="S30">SUMPRODUCT(    (CapexCategory=$C30)*  (S$4&gt;=CapexMonth) *(S$4&lt;=SalOff) * CapexAmount)</f>
        <v>0</v>
      </c>
      <c r="T30" s="265" cm="1">
        <f t="array" ref="T30">SUMPRODUCT(    (CapexCategory=$C30)*  (T$4&gt;=CapexMonth) *(T$4&lt;=SalOff) * CapexAmount)</f>
        <v>0</v>
      </c>
      <c r="U30" s="265" cm="1">
        <f t="array" ref="U30">SUMPRODUCT(    (CapexCategory=$C30)*  (U$4&gt;=CapexMonth) *(U$4&lt;=SalOff) * CapexAmount)</f>
        <v>0</v>
      </c>
      <c r="V30" s="263" cm="1">
        <f t="array" ref="V30">SUMPRODUCT(    (CapexCategory=$C30)*  (V$4&gt;=CapexMonth) *(V$4&lt;=SalOff) * CapexAmount)</f>
        <v>0</v>
      </c>
      <c r="W30" s="265" cm="1">
        <f t="array" ref="W30">SUMPRODUCT(    (CapexCategory=$C30)*  (W$4&gt;=CapexMonth) *(W$4&lt;=SalOff) * CapexAmount)</f>
        <v>0</v>
      </c>
      <c r="X30" s="265" cm="1">
        <f t="array" ref="X30">SUMPRODUCT(    (CapexCategory=$C30)*  (X$4&gt;=CapexMonth) *(X$4&lt;=SalOff) * CapexAmount)</f>
        <v>0</v>
      </c>
      <c r="Y30" s="265" cm="1">
        <f t="array" ref="Y30">SUMPRODUCT(    (CapexCategory=$C30)*  (Y$4&gt;=CapexMonth) *(Y$4&lt;=SalOff) * CapexAmount)</f>
        <v>0</v>
      </c>
      <c r="Z30" s="265" cm="1">
        <f t="array" ref="Z30">SUMPRODUCT(    (CapexCategory=$C30)*  (Z$4&gt;=CapexMonth) *(Z$4&lt;=SalOff) * CapexAmount)</f>
        <v>0</v>
      </c>
      <c r="AA30" s="265" cm="1">
        <f t="array" ref="AA30">SUMPRODUCT(    (CapexCategory=$C30)*  (AA$4&gt;=CapexMonth) *(AA$4&lt;=SalOff) * CapexAmount)</f>
        <v>0</v>
      </c>
      <c r="AB30" s="265" cm="1">
        <f t="array" ref="AB30">SUMPRODUCT(    (CapexCategory=$C30)*  (AB$4&gt;=CapexMonth) *(AB$4&lt;=SalOff) * CapexAmount)</f>
        <v>0</v>
      </c>
      <c r="AC30" s="265" cm="1">
        <f t="array" ref="AC30">SUMPRODUCT(    (CapexCategory=$C30)*  (AC$4&gt;=CapexMonth) *(AC$4&lt;=SalOff) * CapexAmount)</f>
        <v>0</v>
      </c>
      <c r="AD30" s="265" cm="1">
        <f t="array" ref="AD30">SUMPRODUCT(    (CapexCategory=$C30)*  (AD$4&gt;=CapexMonth) *(AD$4&lt;=SalOff) * CapexAmount)</f>
        <v>0</v>
      </c>
      <c r="AE30" s="265" cm="1">
        <f t="array" ref="AE30">SUMPRODUCT(    (CapexCategory=$C30)*  (AE$4&gt;=CapexMonth) *(AE$4&lt;=SalOff) * CapexAmount)</f>
        <v>0</v>
      </c>
      <c r="AF30" s="265" cm="1">
        <f t="array" ref="AF30">SUMPRODUCT(    (CapexCategory=$C30)*  (AF$4&gt;=CapexMonth) *(AF$4&lt;=SalOff) * CapexAmount)</f>
        <v>0</v>
      </c>
      <c r="AG30" s="265" cm="1">
        <f t="array" ref="AG30">SUMPRODUCT(    (CapexCategory=$C30)*  (AG$4&gt;=CapexMonth) *(AG$4&lt;=SalOff) * CapexAmount)</f>
        <v>0</v>
      </c>
      <c r="AH30" s="263" cm="1">
        <f t="array" ref="AH30">SUMPRODUCT(    (CapexCategory=$C30)*  (AH$4&gt;=CapexMonth) *(AH$4&lt;=SalOff) * CapexAmount)</f>
        <v>0</v>
      </c>
      <c r="AI30" s="265" cm="1">
        <f t="array" ref="AI30">SUMPRODUCT(    (CapexCategory=$C30)*  (AI$4&gt;=CapexMonth) *(AI$4&lt;=SalOff) * CapexAmount)</f>
        <v>0</v>
      </c>
      <c r="AJ30" s="265" cm="1">
        <f t="array" ref="AJ30">SUMPRODUCT(    (CapexCategory=$C30)*  (AJ$4&gt;=CapexMonth) *(AJ$4&lt;=SalOff) * CapexAmount)</f>
        <v>0</v>
      </c>
      <c r="AK30" s="265" cm="1">
        <f t="array" ref="AK30">SUMPRODUCT(    (CapexCategory=$C30)*  (AK$4&gt;=CapexMonth) *(AK$4&lt;=SalOff) * CapexAmount)</f>
        <v>0</v>
      </c>
      <c r="AL30" s="265" cm="1">
        <f t="array" ref="AL30">SUMPRODUCT(    (CapexCategory=$C30)*  (AL$4&gt;=CapexMonth) *(AL$4&lt;=SalOff) * CapexAmount)</f>
        <v>0</v>
      </c>
      <c r="AM30" s="265" cm="1">
        <f t="array" ref="AM30">SUMPRODUCT(    (CapexCategory=$C30)*  (AM$4&gt;=CapexMonth) *(AM$4&lt;=SalOff) * CapexAmount)</f>
        <v>0</v>
      </c>
      <c r="AN30" s="265" cm="1">
        <f t="array" ref="AN30">SUMPRODUCT(    (CapexCategory=$C30)*  (AN$4&gt;=CapexMonth) *(AN$4&lt;=SalOff) * CapexAmount)</f>
        <v>0</v>
      </c>
      <c r="AO30" s="265" cm="1">
        <f t="array" ref="AO30">SUMPRODUCT(    (CapexCategory=$C30)*  (AO$4&gt;=CapexMonth) *(AO$4&lt;=SalOff) * CapexAmount)</f>
        <v>0</v>
      </c>
      <c r="AP30" s="265" cm="1">
        <f t="array" ref="AP30">SUMPRODUCT(    (CapexCategory=$C30)*  (AP$4&gt;=CapexMonth) *(AP$4&lt;=SalOff) * CapexAmount)</f>
        <v>0</v>
      </c>
      <c r="AQ30" s="265" cm="1">
        <f t="array" ref="AQ30">SUMPRODUCT(    (CapexCategory=$C30)*  (AQ$4&gt;=CapexMonth) *(AQ$4&lt;=SalOff) * CapexAmount)</f>
        <v>0</v>
      </c>
      <c r="AR30" s="265" cm="1">
        <f t="array" ref="AR30">SUMPRODUCT(    (CapexCategory=$C30)*  (AR$4&gt;=CapexMonth) *(AR$4&lt;=SalOff) * CapexAmount)</f>
        <v>0</v>
      </c>
      <c r="AS30" s="265" cm="1">
        <f t="array" ref="AS30">SUMPRODUCT(    (CapexCategory=$C30)*  (AS$4&gt;=CapexMonth) *(AS$4&lt;=SalOff) * CapexAmount)</f>
        <v>0</v>
      </c>
      <c r="AT30" s="263" cm="1">
        <f t="array" ref="AT30">SUMPRODUCT(    (CapexCategory=$C30)*  (AT$4&gt;=CapexMonth) *(AT$4&lt;=SalOff) * CapexAmount)</f>
        <v>0</v>
      </c>
      <c r="AU30" s="265" cm="1">
        <f t="array" ref="AU30">SUMPRODUCT(    (CapexCategory=$C30)*  (AU$4&gt;=CapexMonth) *(AU$4&lt;=SalOff) * CapexAmount)</f>
        <v>0</v>
      </c>
      <c r="AV30" s="265" cm="1">
        <f t="array" ref="AV30">SUMPRODUCT(    (CapexCategory=$C30)*  (AV$4&gt;=CapexMonth) *(AV$4&lt;=SalOff) * CapexAmount)</f>
        <v>0</v>
      </c>
      <c r="AW30" s="265" cm="1">
        <f t="array" ref="AW30">SUMPRODUCT(    (CapexCategory=$C30)*  (AW$4&gt;=CapexMonth) *(AW$4&lt;=SalOff) * CapexAmount)</f>
        <v>0</v>
      </c>
      <c r="AX30" s="265" cm="1">
        <f t="array" ref="AX30">SUMPRODUCT(    (CapexCategory=$C30)*  (AX$4&gt;=CapexMonth) *(AX$4&lt;=SalOff) * CapexAmount)</f>
        <v>0</v>
      </c>
      <c r="AY30" s="265" cm="1">
        <f t="array" ref="AY30">SUMPRODUCT(    (CapexCategory=$C30)*  (AY$4&gt;=CapexMonth) *(AY$4&lt;=SalOff) * CapexAmount)</f>
        <v>0</v>
      </c>
      <c r="AZ30" s="265" cm="1">
        <f t="array" ref="AZ30">SUMPRODUCT(    (CapexCategory=$C30)*  (AZ$4&gt;=CapexMonth) *(AZ$4&lt;=SalOff) * CapexAmount)</f>
        <v>0</v>
      </c>
      <c r="BA30" s="265" cm="1">
        <f t="array" ref="BA30">SUMPRODUCT(    (CapexCategory=$C30)*  (BA$4&gt;=CapexMonth) *(BA$4&lt;=SalOff) * CapexAmount)</f>
        <v>0</v>
      </c>
      <c r="BB30" s="265" cm="1">
        <f t="array" ref="BB30">SUMPRODUCT(    (CapexCategory=$C30)*  (BB$4&gt;=CapexMonth) *(BB$4&lt;=SalOff) * CapexAmount)</f>
        <v>0</v>
      </c>
      <c r="BC30" s="265" cm="1">
        <f t="array" ref="BC30">SUMPRODUCT(    (CapexCategory=$C30)*  (BC$4&gt;=CapexMonth) *(BC$4&lt;=SalOff) * CapexAmount)</f>
        <v>0</v>
      </c>
      <c r="BD30" s="265" cm="1">
        <f t="array" ref="BD30">SUMPRODUCT(    (CapexCategory=$C30)*  (BD$4&gt;=CapexMonth) *(BD$4&lt;=SalOff) * CapexAmount)</f>
        <v>0</v>
      </c>
      <c r="BE30" s="265" cm="1">
        <f t="array" ref="BE30">SUMPRODUCT(    (CapexCategory=$C30)*  (BE$4&gt;=CapexMonth) *(BE$4&lt;=SalOff) * CapexAmount)</f>
        <v>0</v>
      </c>
      <c r="BF30" s="263" cm="1">
        <f t="array" ref="BF30">SUMPRODUCT(    (CapexCategory=$C30)*  (BF$4&gt;=CapexMonth) *(BF$4&lt;=SalOff) * CapexAmount)</f>
        <v>0</v>
      </c>
      <c r="BG30" s="265" cm="1">
        <f t="array" ref="BG30">SUMPRODUCT(    (CapexCategory=$C30)*  (BG$4&gt;=CapexMonth) *(BG$4&lt;=SalOff) * CapexAmount)</f>
        <v>0</v>
      </c>
      <c r="BH30" s="265" cm="1">
        <f t="array" ref="BH30">SUMPRODUCT(    (CapexCategory=$C30)*  (BH$4&gt;=CapexMonth) *(BH$4&lt;=SalOff) * CapexAmount)</f>
        <v>0</v>
      </c>
      <c r="BI30" s="265" cm="1">
        <f t="array" ref="BI30">SUMPRODUCT(    (CapexCategory=$C30)*  (BI$4&gt;=CapexMonth) *(BI$4&lt;=SalOff) * CapexAmount)</f>
        <v>0</v>
      </c>
      <c r="BJ30" s="265" cm="1">
        <f t="array" ref="BJ30">SUMPRODUCT(    (CapexCategory=$C30)*  (BJ$4&gt;=CapexMonth) *(BJ$4&lt;=SalOff) * CapexAmount)</f>
        <v>0</v>
      </c>
      <c r="BK30" s="265" cm="1">
        <f t="array" ref="BK30">SUMPRODUCT(    (CapexCategory=$C30)*  (BK$4&gt;=CapexMonth) *(BK$4&lt;=SalOff) * CapexAmount)</f>
        <v>0</v>
      </c>
      <c r="BL30" s="265" cm="1">
        <f t="array" ref="BL30">SUMPRODUCT(    (CapexCategory=$C30)*  (BL$4&gt;=CapexMonth) *(BL$4&lt;=SalOff) * CapexAmount)</f>
        <v>0</v>
      </c>
      <c r="BM30" s="265" cm="1">
        <f t="array" ref="BM30">SUMPRODUCT(    (CapexCategory=$C30)*  (BM$4&gt;=CapexMonth) *(BM$4&lt;=SalOff) * CapexAmount)</f>
        <v>0</v>
      </c>
      <c r="BN30" s="265" cm="1">
        <f t="array" ref="BN30">SUMPRODUCT(    (CapexCategory=$C30)*  (BN$4&gt;=CapexMonth) *(BN$4&lt;=SalOff) * CapexAmount)</f>
        <v>0</v>
      </c>
      <c r="BO30" s="265" cm="1">
        <f t="array" ref="BO30">SUMPRODUCT(    (CapexCategory=$C30)*  (BO$4&gt;=CapexMonth) *(BO$4&lt;=SalOff) * CapexAmount)</f>
        <v>0</v>
      </c>
      <c r="BP30" s="265" cm="1">
        <f t="array" ref="BP30">SUMPRODUCT(    (CapexCategory=$C30)*  (BP$4&gt;=CapexMonth) *(BP$4&lt;=SalOff) * CapexAmount)</f>
        <v>0</v>
      </c>
      <c r="BQ30" s="265" cm="1">
        <f t="array" ref="BQ30">SUMPRODUCT(    (CapexCategory=$C30)*  (BQ$4&gt;=CapexMonth) *(BQ$4&lt;=SalOff) * CapexAmount)</f>
        <v>0</v>
      </c>
      <c r="BR30" s="263" cm="1">
        <f t="array" ref="BR30">SUMPRODUCT(    (CapexCategory=$C30)*  (BR$4&gt;=CapexMonth) *(BR$4&lt;=SalOff) * CapexAmount)</f>
        <v>0</v>
      </c>
    </row>
    <row r="31" spans="1:70" ht="13.2" hidden="1" x14ac:dyDescent="0.3">
      <c r="C31" s="185" t="s">
        <v>220</v>
      </c>
      <c r="D31" s="14"/>
      <c r="E31" s="263">
        <f t="shared" si="28"/>
        <v>0</v>
      </c>
      <c r="F31" s="263">
        <f t="shared" si="29"/>
        <v>0</v>
      </c>
      <c r="G31" s="263">
        <f t="shared" si="30"/>
        <v>0</v>
      </c>
      <c r="H31" s="263">
        <f t="shared" si="31"/>
        <v>0</v>
      </c>
      <c r="I31" s="263">
        <f t="shared" si="32"/>
        <v>0</v>
      </c>
      <c r="J31" s="264"/>
      <c r="K31" s="265" cm="1">
        <f t="array" ref="K31">SUMPRODUCT(    (CapexCategory=$C31)*  (K$4&gt;=CapexMonth) *(K$4&lt;=SalOff) * CapexAmount)</f>
        <v>40</v>
      </c>
      <c r="L31" s="265" cm="1">
        <f t="array" ref="L31">SUMPRODUCT(    (CapexCategory=$C31)*  (L$4&gt;=CapexMonth) *(L$4&lt;=SalOff) * CapexAmount)</f>
        <v>40</v>
      </c>
      <c r="M31" s="265" cm="1">
        <f t="array" ref="M31">SUMPRODUCT(    (CapexCategory=$C31)*  (M$4&gt;=CapexMonth) *(M$4&lt;=SalOff) * CapexAmount)</f>
        <v>40</v>
      </c>
      <c r="N31" s="265" cm="1">
        <f t="array" ref="N31">SUMPRODUCT(    (CapexCategory=$C31)*  (N$4&gt;=CapexMonth) *(N$4&lt;=SalOff) * CapexAmount)</f>
        <v>40</v>
      </c>
      <c r="O31" s="265" cm="1">
        <f t="array" ref="O31">SUMPRODUCT(    (CapexCategory=$C31)*  (O$4&gt;=CapexMonth) *(O$4&lt;=SalOff) * CapexAmount)</f>
        <v>40</v>
      </c>
      <c r="P31" s="265" cm="1">
        <f t="array" ref="P31">SUMPRODUCT(    (CapexCategory=$C31)*  (P$4&gt;=CapexMonth) *(P$4&lt;=SalOff) * CapexAmount)</f>
        <v>40</v>
      </c>
      <c r="Q31" s="265" cm="1">
        <f t="array" ref="Q31">SUMPRODUCT(    (CapexCategory=$C31)*  (Q$4&gt;=CapexMonth) *(Q$4&lt;=SalOff) * CapexAmount)</f>
        <v>40</v>
      </c>
      <c r="R31" s="265" cm="1">
        <f t="array" ref="R31">SUMPRODUCT(    (CapexCategory=$C31)*  (R$4&gt;=CapexMonth) *(R$4&lt;=SalOff) * CapexAmount)</f>
        <v>40</v>
      </c>
      <c r="S31" s="265" cm="1">
        <f t="array" ref="S31">SUMPRODUCT(    (CapexCategory=$C31)*  (S$4&gt;=CapexMonth) *(S$4&lt;=SalOff) * CapexAmount)</f>
        <v>40</v>
      </c>
      <c r="T31" s="265" cm="1">
        <f t="array" ref="T31">SUMPRODUCT(    (CapexCategory=$C31)*  (T$4&gt;=CapexMonth) *(T$4&lt;=SalOff) * CapexAmount)</f>
        <v>40</v>
      </c>
      <c r="U31" s="265" cm="1">
        <f t="array" ref="U31">SUMPRODUCT(    (CapexCategory=$C31)*  (U$4&gt;=CapexMonth) *(U$4&lt;=SalOff) * CapexAmount)</f>
        <v>0</v>
      </c>
      <c r="V31" s="263" cm="1">
        <f t="array" ref="V31">SUMPRODUCT(    (CapexCategory=$C31)*  (V$4&gt;=CapexMonth) *(V$4&lt;=SalOff) * CapexAmount)</f>
        <v>0</v>
      </c>
      <c r="W31" s="265" cm="1">
        <f t="array" ref="W31">SUMPRODUCT(    (CapexCategory=$C31)*  (W$4&gt;=CapexMonth) *(W$4&lt;=SalOff) * CapexAmount)</f>
        <v>0</v>
      </c>
      <c r="X31" s="265" cm="1">
        <f t="array" ref="X31">SUMPRODUCT(    (CapexCategory=$C31)*  (X$4&gt;=CapexMonth) *(X$4&lt;=SalOff) * CapexAmount)</f>
        <v>0</v>
      </c>
      <c r="Y31" s="265" cm="1">
        <f t="array" ref="Y31">SUMPRODUCT(    (CapexCategory=$C31)*  (Y$4&gt;=CapexMonth) *(Y$4&lt;=SalOff) * CapexAmount)</f>
        <v>0</v>
      </c>
      <c r="Z31" s="265" cm="1">
        <f t="array" ref="Z31">SUMPRODUCT(    (CapexCategory=$C31)*  (Z$4&gt;=CapexMonth) *(Z$4&lt;=SalOff) * CapexAmount)</f>
        <v>0</v>
      </c>
      <c r="AA31" s="265" cm="1">
        <f t="array" ref="AA31">SUMPRODUCT(    (CapexCategory=$C31)*  (AA$4&gt;=CapexMonth) *(AA$4&lt;=SalOff) * CapexAmount)</f>
        <v>0</v>
      </c>
      <c r="AB31" s="265" cm="1">
        <f t="array" ref="AB31">SUMPRODUCT(    (CapexCategory=$C31)*  (AB$4&gt;=CapexMonth) *(AB$4&lt;=SalOff) * CapexAmount)</f>
        <v>0</v>
      </c>
      <c r="AC31" s="265" cm="1">
        <f t="array" ref="AC31">SUMPRODUCT(    (CapexCategory=$C31)*  (AC$4&gt;=CapexMonth) *(AC$4&lt;=SalOff) * CapexAmount)</f>
        <v>0</v>
      </c>
      <c r="AD31" s="265" cm="1">
        <f t="array" ref="AD31">SUMPRODUCT(    (CapexCategory=$C31)*  (AD$4&gt;=CapexMonth) *(AD$4&lt;=SalOff) * CapexAmount)</f>
        <v>0</v>
      </c>
      <c r="AE31" s="265" cm="1">
        <f t="array" ref="AE31">SUMPRODUCT(    (CapexCategory=$C31)*  (AE$4&gt;=CapexMonth) *(AE$4&lt;=SalOff) * CapexAmount)</f>
        <v>0</v>
      </c>
      <c r="AF31" s="265" cm="1">
        <f t="array" ref="AF31">SUMPRODUCT(    (CapexCategory=$C31)*  (AF$4&gt;=CapexMonth) *(AF$4&lt;=SalOff) * CapexAmount)</f>
        <v>0</v>
      </c>
      <c r="AG31" s="265" cm="1">
        <f t="array" ref="AG31">SUMPRODUCT(    (CapexCategory=$C31)*  (AG$4&gt;=CapexMonth) *(AG$4&lt;=SalOff) * CapexAmount)</f>
        <v>0</v>
      </c>
      <c r="AH31" s="263" cm="1">
        <f t="array" ref="AH31">SUMPRODUCT(    (CapexCategory=$C31)*  (AH$4&gt;=CapexMonth) *(AH$4&lt;=SalOff) * CapexAmount)</f>
        <v>0</v>
      </c>
      <c r="AI31" s="265" cm="1">
        <f t="array" ref="AI31">SUMPRODUCT(    (CapexCategory=$C31)*  (AI$4&gt;=CapexMonth) *(AI$4&lt;=SalOff) * CapexAmount)</f>
        <v>0</v>
      </c>
      <c r="AJ31" s="265" cm="1">
        <f t="array" ref="AJ31">SUMPRODUCT(    (CapexCategory=$C31)*  (AJ$4&gt;=CapexMonth) *(AJ$4&lt;=SalOff) * CapexAmount)</f>
        <v>0</v>
      </c>
      <c r="AK31" s="265" cm="1">
        <f t="array" ref="AK31">SUMPRODUCT(    (CapexCategory=$C31)*  (AK$4&gt;=CapexMonth) *(AK$4&lt;=SalOff) * CapexAmount)</f>
        <v>0</v>
      </c>
      <c r="AL31" s="265" cm="1">
        <f t="array" ref="AL31">SUMPRODUCT(    (CapexCategory=$C31)*  (AL$4&gt;=CapexMonth) *(AL$4&lt;=SalOff) * CapexAmount)</f>
        <v>0</v>
      </c>
      <c r="AM31" s="265" cm="1">
        <f t="array" ref="AM31">SUMPRODUCT(    (CapexCategory=$C31)*  (AM$4&gt;=CapexMonth) *(AM$4&lt;=SalOff) * CapexAmount)</f>
        <v>0</v>
      </c>
      <c r="AN31" s="265" cm="1">
        <f t="array" ref="AN31">SUMPRODUCT(    (CapexCategory=$C31)*  (AN$4&gt;=CapexMonth) *(AN$4&lt;=SalOff) * CapexAmount)</f>
        <v>0</v>
      </c>
      <c r="AO31" s="265" cm="1">
        <f t="array" ref="AO31">SUMPRODUCT(    (CapexCategory=$C31)*  (AO$4&gt;=CapexMonth) *(AO$4&lt;=SalOff) * CapexAmount)</f>
        <v>0</v>
      </c>
      <c r="AP31" s="265" cm="1">
        <f t="array" ref="AP31">SUMPRODUCT(    (CapexCategory=$C31)*  (AP$4&gt;=CapexMonth) *(AP$4&lt;=SalOff) * CapexAmount)</f>
        <v>0</v>
      </c>
      <c r="AQ31" s="265" cm="1">
        <f t="array" ref="AQ31">SUMPRODUCT(    (CapexCategory=$C31)*  (AQ$4&gt;=CapexMonth) *(AQ$4&lt;=SalOff) * CapexAmount)</f>
        <v>0</v>
      </c>
      <c r="AR31" s="265" cm="1">
        <f t="array" ref="AR31">SUMPRODUCT(    (CapexCategory=$C31)*  (AR$4&gt;=CapexMonth) *(AR$4&lt;=SalOff) * CapexAmount)</f>
        <v>0</v>
      </c>
      <c r="AS31" s="265" cm="1">
        <f t="array" ref="AS31">SUMPRODUCT(    (CapexCategory=$C31)*  (AS$4&gt;=CapexMonth) *(AS$4&lt;=SalOff) * CapexAmount)</f>
        <v>0</v>
      </c>
      <c r="AT31" s="263" cm="1">
        <f t="array" ref="AT31">SUMPRODUCT(    (CapexCategory=$C31)*  (AT$4&gt;=CapexMonth) *(AT$4&lt;=SalOff) * CapexAmount)</f>
        <v>0</v>
      </c>
      <c r="AU31" s="265" cm="1">
        <f t="array" ref="AU31">SUMPRODUCT(    (CapexCategory=$C31)*  (AU$4&gt;=CapexMonth) *(AU$4&lt;=SalOff) * CapexAmount)</f>
        <v>0</v>
      </c>
      <c r="AV31" s="265" cm="1">
        <f t="array" ref="AV31">SUMPRODUCT(    (CapexCategory=$C31)*  (AV$4&gt;=CapexMonth) *(AV$4&lt;=SalOff) * CapexAmount)</f>
        <v>0</v>
      </c>
      <c r="AW31" s="265" cm="1">
        <f t="array" ref="AW31">SUMPRODUCT(    (CapexCategory=$C31)*  (AW$4&gt;=CapexMonth) *(AW$4&lt;=SalOff) * CapexAmount)</f>
        <v>0</v>
      </c>
      <c r="AX31" s="265" cm="1">
        <f t="array" ref="AX31">SUMPRODUCT(    (CapexCategory=$C31)*  (AX$4&gt;=CapexMonth) *(AX$4&lt;=SalOff) * CapexAmount)</f>
        <v>0</v>
      </c>
      <c r="AY31" s="265" cm="1">
        <f t="array" ref="AY31">SUMPRODUCT(    (CapexCategory=$C31)*  (AY$4&gt;=CapexMonth) *(AY$4&lt;=SalOff) * CapexAmount)</f>
        <v>0</v>
      </c>
      <c r="AZ31" s="265" cm="1">
        <f t="array" ref="AZ31">SUMPRODUCT(    (CapexCategory=$C31)*  (AZ$4&gt;=CapexMonth) *(AZ$4&lt;=SalOff) * CapexAmount)</f>
        <v>0</v>
      </c>
      <c r="BA31" s="265" cm="1">
        <f t="array" ref="BA31">SUMPRODUCT(    (CapexCategory=$C31)*  (BA$4&gt;=CapexMonth) *(BA$4&lt;=SalOff) * CapexAmount)</f>
        <v>0</v>
      </c>
      <c r="BB31" s="265" cm="1">
        <f t="array" ref="BB31">SUMPRODUCT(    (CapexCategory=$C31)*  (BB$4&gt;=CapexMonth) *(BB$4&lt;=SalOff) * CapexAmount)</f>
        <v>0</v>
      </c>
      <c r="BC31" s="265" cm="1">
        <f t="array" ref="BC31">SUMPRODUCT(    (CapexCategory=$C31)*  (BC$4&gt;=CapexMonth) *(BC$4&lt;=SalOff) * CapexAmount)</f>
        <v>0</v>
      </c>
      <c r="BD31" s="265" cm="1">
        <f t="array" ref="BD31">SUMPRODUCT(    (CapexCategory=$C31)*  (BD$4&gt;=CapexMonth) *(BD$4&lt;=SalOff) * CapexAmount)</f>
        <v>0</v>
      </c>
      <c r="BE31" s="265" cm="1">
        <f t="array" ref="BE31">SUMPRODUCT(    (CapexCategory=$C31)*  (BE$4&gt;=CapexMonth) *(BE$4&lt;=SalOff) * CapexAmount)</f>
        <v>0</v>
      </c>
      <c r="BF31" s="263" cm="1">
        <f t="array" ref="BF31">SUMPRODUCT(    (CapexCategory=$C31)*  (BF$4&gt;=CapexMonth) *(BF$4&lt;=SalOff) * CapexAmount)</f>
        <v>0</v>
      </c>
      <c r="BG31" s="265" cm="1">
        <f t="array" ref="BG31">SUMPRODUCT(    (CapexCategory=$C31)*  (BG$4&gt;=CapexMonth) *(BG$4&lt;=SalOff) * CapexAmount)</f>
        <v>0</v>
      </c>
      <c r="BH31" s="265" cm="1">
        <f t="array" ref="BH31">SUMPRODUCT(    (CapexCategory=$C31)*  (BH$4&gt;=CapexMonth) *(BH$4&lt;=SalOff) * CapexAmount)</f>
        <v>0</v>
      </c>
      <c r="BI31" s="265" cm="1">
        <f t="array" ref="BI31">SUMPRODUCT(    (CapexCategory=$C31)*  (BI$4&gt;=CapexMonth) *(BI$4&lt;=SalOff) * CapexAmount)</f>
        <v>0</v>
      </c>
      <c r="BJ31" s="265" cm="1">
        <f t="array" ref="BJ31">SUMPRODUCT(    (CapexCategory=$C31)*  (BJ$4&gt;=CapexMonth) *(BJ$4&lt;=SalOff) * CapexAmount)</f>
        <v>0</v>
      </c>
      <c r="BK31" s="265" cm="1">
        <f t="array" ref="BK31">SUMPRODUCT(    (CapexCategory=$C31)*  (BK$4&gt;=CapexMonth) *(BK$4&lt;=SalOff) * CapexAmount)</f>
        <v>0</v>
      </c>
      <c r="BL31" s="265" cm="1">
        <f t="array" ref="BL31">SUMPRODUCT(    (CapexCategory=$C31)*  (BL$4&gt;=CapexMonth) *(BL$4&lt;=SalOff) * CapexAmount)</f>
        <v>0</v>
      </c>
      <c r="BM31" s="265" cm="1">
        <f t="array" ref="BM31">SUMPRODUCT(    (CapexCategory=$C31)*  (BM$4&gt;=CapexMonth) *(BM$4&lt;=SalOff) * CapexAmount)</f>
        <v>0</v>
      </c>
      <c r="BN31" s="265" cm="1">
        <f t="array" ref="BN31">SUMPRODUCT(    (CapexCategory=$C31)*  (BN$4&gt;=CapexMonth) *(BN$4&lt;=SalOff) * CapexAmount)</f>
        <v>0</v>
      </c>
      <c r="BO31" s="265" cm="1">
        <f t="array" ref="BO31">SUMPRODUCT(    (CapexCategory=$C31)*  (BO$4&gt;=CapexMonth) *(BO$4&lt;=SalOff) * CapexAmount)</f>
        <v>0</v>
      </c>
      <c r="BP31" s="265" cm="1">
        <f t="array" ref="BP31">SUMPRODUCT(    (CapexCategory=$C31)*  (BP$4&gt;=CapexMonth) *(BP$4&lt;=SalOff) * CapexAmount)</f>
        <v>0</v>
      </c>
      <c r="BQ31" s="265" cm="1">
        <f t="array" ref="BQ31">SUMPRODUCT(    (CapexCategory=$C31)*  (BQ$4&gt;=CapexMonth) *(BQ$4&lt;=SalOff) * CapexAmount)</f>
        <v>0</v>
      </c>
      <c r="BR31" s="263" cm="1">
        <f t="array" ref="BR31">SUMPRODUCT(    (CapexCategory=$C31)*  (BR$4&gt;=CapexMonth) *(BR$4&lt;=SalOff) * CapexAmount)</f>
        <v>0</v>
      </c>
    </row>
    <row r="32" spans="1:70" ht="13.2" hidden="1" x14ac:dyDescent="0.3">
      <c r="C32" s="185" t="s">
        <v>221</v>
      </c>
      <c r="D32" s="14"/>
      <c r="E32" s="263">
        <f t="shared" si="28"/>
        <v>0</v>
      </c>
      <c r="F32" s="263">
        <f t="shared" si="29"/>
        <v>0</v>
      </c>
      <c r="G32" s="263">
        <f t="shared" si="30"/>
        <v>0</v>
      </c>
      <c r="H32" s="263">
        <f t="shared" si="31"/>
        <v>0</v>
      </c>
      <c r="I32" s="263">
        <f t="shared" si="32"/>
        <v>0</v>
      </c>
      <c r="J32" s="264"/>
      <c r="K32" s="265" cm="1">
        <f t="array" ref="K32">SUMPRODUCT(    (CapexCategory=$C32)*  (K$4&gt;=CapexMonth) *(K$4&lt;=SalOff) * CapexAmount)</f>
        <v>0</v>
      </c>
      <c r="L32" s="265" cm="1">
        <f t="array" ref="L32">SUMPRODUCT(    (CapexCategory=$C32)*  (L$4&gt;=CapexMonth) *(L$4&lt;=SalOff) * CapexAmount)</f>
        <v>0</v>
      </c>
      <c r="M32" s="265" cm="1">
        <f t="array" ref="M32">SUMPRODUCT(    (CapexCategory=$C32)*  (M$4&gt;=CapexMonth) *(M$4&lt;=SalOff) * CapexAmount)</f>
        <v>0</v>
      </c>
      <c r="N32" s="265" cm="1">
        <f t="array" ref="N32">SUMPRODUCT(    (CapexCategory=$C32)*  (N$4&gt;=CapexMonth) *(N$4&lt;=SalOff) * CapexAmount)</f>
        <v>0</v>
      </c>
      <c r="O32" s="265" cm="1">
        <f t="array" ref="O32">SUMPRODUCT(    (CapexCategory=$C32)*  (O$4&gt;=CapexMonth) *(O$4&lt;=SalOff) * CapexAmount)</f>
        <v>0</v>
      </c>
      <c r="P32" s="265" cm="1">
        <f t="array" ref="P32">SUMPRODUCT(    (CapexCategory=$C32)*  (P$4&gt;=CapexMonth) *(P$4&lt;=SalOff) * CapexAmount)</f>
        <v>0</v>
      </c>
      <c r="Q32" s="265" cm="1">
        <f t="array" ref="Q32">SUMPRODUCT(    (CapexCategory=$C32)*  (Q$4&gt;=CapexMonth) *(Q$4&lt;=SalOff) * CapexAmount)</f>
        <v>0</v>
      </c>
      <c r="R32" s="265" cm="1">
        <f t="array" ref="R32">SUMPRODUCT(    (CapexCategory=$C32)*  (R$4&gt;=CapexMonth) *(R$4&lt;=SalOff) * CapexAmount)</f>
        <v>0</v>
      </c>
      <c r="S32" s="265" cm="1">
        <f t="array" ref="S32">SUMPRODUCT(    (CapexCategory=$C32)*  (S$4&gt;=CapexMonth) *(S$4&lt;=SalOff) * CapexAmount)</f>
        <v>0</v>
      </c>
      <c r="T32" s="265" cm="1">
        <f t="array" ref="T32">SUMPRODUCT(    (CapexCategory=$C32)*  (T$4&gt;=CapexMonth) *(T$4&lt;=SalOff) * CapexAmount)</f>
        <v>0</v>
      </c>
      <c r="U32" s="265" cm="1">
        <f t="array" ref="U32">SUMPRODUCT(    (CapexCategory=$C32)*  (U$4&gt;=CapexMonth) *(U$4&lt;=SalOff) * CapexAmount)</f>
        <v>0</v>
      </c>
      <c r="V32" s="263" cm="1">
        <f t="array" ref="V32">SUMPRODUCT(    (CapexCategory=$C32)*  (V$4&gt;=CapexMonth) *(V$4&lt;=SalOff) * CapexAmount)</f>
        <v>0</v>
      </c>
      <c r="W32" s="265" cm="1">
        <f t="array" ref="W32">SUMPRODUCT(    (CapexCategory=$C32)*  (W$4&gt;=CapexMonth) *(W$4&lt;=SalOff) * CapexAmount)</f>
        <v>0</v>
      </c>
      <c r="X32" s="265" cm="1">
        <f t="array" ref="X32">SUMPRODUCT(    (CapexCategory=$C32)*  (X$4&gt;=CapexMonth) *(X$4&lt;=SalOff) * CapexAmount)</f>
        <v>0</v>
      </c>
      <c r="Y32" s="265" cm="1">
        <f t="array" ref="Y32">SUMPRODUCT(    (CapexCategory=$C32)*  (Y$4&gt;=CapexMonth) *(Y$4&lt;=SalOff) * CapexAmount)</f>
        <v>0</v>
      </c>
      <c r="Z32" s="265" cm="1">
        <f t="array" ref="Z32">SUMPRODUCT(    (CapexCategory=$C32)*  (Z$4&gt;=CapexMonth) *(Z$4&lt;=SalOff) * CapexAmount)</f>
        <v>0</v>
      </c>
      <c r="AA32" s="265" cm="1">
        <f t="array" ref="AA32">SUMPRODUCT(    (CapexCategory=$C32)*  (AA$4&gt;=CapexMonth) *(AA$4&lt;=SalOff) * CapexAmount)</f>
        <v>0</v>
      </c>
      <c r="AB32" s="265" cm="1">
        <f t="array" ref="AB32">SUMPRODUCT(    (CapexCategory=$C32)*  (AB$4&gt;=CapexMonth) *(AB$4&lt;=SalOff) * CapexAmount)</f>
        <v>0</v>
      </c>
      <c r="AC32" s="265" cm="1">
        <f t="array" ref="AC32">SUMPRODUCT(    (CapexCategory=$C32)*  (AC$4&gt;=CapexMonth) *(AC$4&lt;=SalOff) * CapexAmount)</f>
        <v>0</v>
      </c>
      <c r="AD32" s="265" cm="1">
        <f t="array" ref="AD32">SUMPRODUCT(    (CapexCategory=$C32)*  (AD$4&gt;=CapexMonth) *(AD$4&lt;=SalOff) * CapexAmount)</f>
        <v>0</v>
      </c>
      <c r="AE32" s="265" cm="1">
        <f t="array" ref="AE32">SUMPRODUCT(    (CapexCategory=$C32)*  (AE$4&gt;=CapexMonth) *(AE$4&lt;=SalOff) * CapexAmount)</f>
        <v>0</v>
      </c>
      <c r="AF32" s="265" cm="1">
        <f t="array" ref="AF32">SUMPRODUCT(    (CapexCategory=$C32)*  (AF$4&gt;=CapexMonth) *(AF$4&lt;=SalOff) * CapexAmount)</f>
        <v>0</v>
      </c>
      <c r="AG32" s="265" cm="1">
        <f t="array" ref="AG32">SUMPRODUCT(    (CapexCategory=$C32)*  (AG$4&gt;=CapexMonth) *(AG$4&lt;=SalOff) * CapexAmount)</f>
        <v>0</v>
      </c>
      <c r="AH32" s="263" cm="1">
        <f t="array" ref="AH32">SUMPRODUCT(    (CapexCategory=$C32)*  (AH$4&gt;=CapexMonth) *(AH$4&lt;=SalOff) * CapexAmount)</f>
        <v>0</v>
      </c>
      <c r="AI32" s="265" cm="1">
        <f t="array" ref="AI32">SUMPRODUCT(    (CapexCategory=$C32)*  (AI$4&gt;=CapexMonth) *(AI$4&lt;=SalOff) * CapexAmount)</f>
        <v>0</v>
      </c>
      <c r="AJ32" s="265" cm="1">
        <f t="array" ref="AJ32">SUMPRODUCT(    (CapexCategory=$C32)*  (AJ$4&gt;=CapexMonth) *(AJ$4&lt;=SalOff) * CapexAmount)</f>
        <v>0</v>
      </c>
      <c r="AK32" s="265" cm="1">
        <f t="array" ref="AK32">SUMPRODUCT(    (CapexCategory=$C32)*  (AK$4&gt;=CapexMonth) *(AK$4&lt;=SalOff) * CapexAmount)</f>
        <v>0</v>
      </c>
      <c r="AL32" s="265" cm="1">
        <f t="array" ref="AL32">SUMPRODUCT(    (CapexCategory=$C32)*  (AL$4&gt;=CapexMonth) *(AL$4&lt;=SalOff) * CapexAmount)</f>
        <v>0</v>
      </c>
      <c r="AM32" s="265" cm="1">
        <f t="array" ref="AM32">SUMPRODUCT(    (CapexCategory=$C32)*  (AM$4&gt;=CapexMonth) *(AM$4&lt;=SalOff) * CapexAmount)</f>
        <v>0</v>
      </c>
      <c r="AN32" s="265" cm="1">
        <f t="array" ref="AN32">SUMPRODUCT(    (CapexCategory=$C32)*  (AN$4&gt;=CapexMonth) *(AN$4&lt;=SalOff) * CapexAmount)</f>
        <v>0</v>
      </c>
      <c r="AO32" s="265" cm="1">
        <f t="array" ref="AO32">SUMPRODUCT(    (CapexCategory=$C32)*  (AO$4&gt;=CapexMonth) *(AO$4&lt;=SalOff) * CapexAmount)</f>
        <v>0</v>
      </c>
      <c r="AP32" s="265" cm="1">
        <f t="array" ref="AP32">SUMPRODUCT(    (CapexCategory=$C32)*  (AP$4&gt;=CapexMonth) *(AP$4&lt;=SalOff) * CapexAmount)</f>
        <v>0</v>
      </c>
      <c r="AQ32" s="265" cm="1">
        <f t="array" ref="AQ32">SUMPRODUCT(    (CapexCategory=$C32)*  (AQ$4&gt;=CapexMonth) *(AQ$4&lt;=SalOff) * CapexAmount)</f>
        <v>0</v>
      </c>
      <c r="AR32" s="265" cm="1">
        <f t="array" ref="AR32">SUMPRODUCT(    (CapexCategory=$C32)*  (AR$4&gt;=CapexMonth) *(AR$4&lt;=SalOff) * CapexAmount)</f>
        <v>0</v>
      </c>
      <c r="AS32" s="265" cm="1">
        <f t="array" ref="AS32">SUMPRODUCT(    (CapexCategory=$C32)*  (AS$4&gt;=CapexMonth) *(AS$4&lt;=SalOff) * CapexAmount)</f>
        <v>0</v>
      </c>
      <c r="AT32" s="263" cm="1">
        <f t="array" ref="AT32">SUMPRODUCT(    (CapexCategory=$C32)*  (AT$4&gt;=CapexMonth) *(AT$4&lt;=SalOff) * CapexAmount)</f>
        <v>0</v>
      </c>
      <c r="AU32" s="265" cm="1">
        <f t="array" ref="AU32">SUMPRODUCT(    (CapexCategory=$C32)*  (AU$4&gt;=CapexMonth) *(AU$4&lt;=SalOff) * CapexAmount)</f>
        <v>0</v>
      </c>
      <c r="AV32" s="265" cm="1">
        <f t="array" ref="AV32">SUMPRODUCT(    (CapexCategory=$C32)*  (AV$4&gt;=CapexMonth) *(AV$4&lt;=SalOff) * CapexAmount)</f>
        <v>0</v>
      </c>
      <c r="AW32" s="265" cm="1">
        <f t="array" ref="AW32">SUMPRODUCT(    (CapexCategory=$C32)*  (AW$4&gt;=CapexMonth) *(AW$4&lt;=SalOff) * CapexAmount)</f>
        <v>0</v>
      </c>
      <c r="AX32" s="265" cm="1">
        <f t="array" ref="AX32">SUMPRODUCT(    (CapexCategory=$C32)*  (AX$4&gt;=CapexMonth) *(AX$4&lt;=SalOff) * CapexAmount)</f>
        <v>0</v>
      </c>
      <c r="AY32" s="265" cm="1">
        <f t="array" ref="AY32">SUMPRODUCT(    (CapexCategory=$C32)*  (AY$4&gt;=CapexMonth) *(AY$4&lt;=SalOff) * CapexAmount)</f>
        <v>0</v>
      </c>
      <c r="AZ32" s="265" cm="1">
        <f t="array" ref="AZ32">SUMPRODUCT(    (CapexCategory=$C32)*  (AZ$4&gt;=CapexMonth) *(AZ$4&lt;=SalOff) * CapexAmount)</f>
        <v>0</v>
      </c>
      <c r="BA32" s="265" cm="1">
        <f t="array" ref="BA32">SUMPRODUCT(    (CapexCategory=$C32)*  (BA$4&gt;=CapexMonth) *(BA$4&lt;=SalOff) * CapexAmount)</f>
        <v>0</v>
      </c>
      <c r="BB32" s="265" cm="1">
        <f t="array" ref="BB32">SUMPRODUCT(    (CapexCategory=$C32)*  (BB$4&gt;=CapexMonth) *(BB$4&lt;=SalOff) * CapexAmount)</f>
        <v>0</v>
      </c>
      <c r="BC32" s="265" cm="1">
        <f t="array" ref="BC32">SUMPRODUCT(    (CapexCategory=$C32)*  (BC$4&gt;=CapexMonth) *(BC$4&lt;=SalOff) * CapexAmount)</f>
        <v>0</v>
      </c>
      <c r="BD32" s="265" cm="1">
        <f t="array" ref="BD32">SUMPRODUCT(    (CapexCategory=$C32)*  (BD$4&gt;=CapexMonth) *(BD$4&lt;=SalOff) * CapexAmount)</f>
        <v>0</v>
      </c>
      <c r="BE32" s="265" cm="1">
        <f t="array" ref="BE32">SUMPRODUCT(    (CapexCategory=$C32)*  (BE$4&gt;=CapexMonth) *(BE$4&lt;=SalOff) * CapexAmount)</f>
        <v>0</v>
      </c>
      <c r="BF32" s="263" cm="1">
        <f t="array" ref="BF32">SUMPRODUCT(    (CapexCategory=$C32)*  (BF$4&gt;=CapexMonth) *(BF$4&lt;=SalOff) * CapexAmount)</f>
        <v>0</v>
      </c>
      <c r="BG32" s="265" cm="1">
        <f t="array" ref="BG32">SUMPRODUCT(    (CapexCategory=$C32)*  (BG$4&gt;=CapexMonth) *(BG$4&lt;=SalOff) * CapexAmount)</f>
        <v>0</v>
      </c>
      <c r="BH32" s="265" cm="1">
        <f t="array" ref="BH32">SUMPRODUCT(    (CapexCategory=$C32)*  (BH$4&gt;=CapexMonth) *(BH$4&lt;=SalOff) * CapexAmount)</f>
        <v>0</v>
      </c>
      <c r="BI32" s="265" cm="1">
        <f t="array" ref="BI32">SUMPRODUCT(    (CapexCategory=$C32)*  (BI$4&gt;=CapexMonth) *(BI$4&lt;=SalOff) * CapexAmount)</f>
        <v>0</v>
      </c>
      <c r="BJ32" s="265" cm="1">
        <f t="array" ref="BJ32">SUMPRODUCT(    (CapexCategory=$C32)*  (BJ$4&gt;=CapexMonth) *(BJ$4&lt;=SalOff) * CapexAmount)</f>
        <v>0</v>
      </c>
      <c r="BK32" s="265" cm="1">
        <f t="array" ref="BK32">SUMPRODUCT(    (CapexCategory=$C32)*  (BK$4&gt;=CapexMonth) *(BK$4&lt;=SalOff) * CapexAmount)</f>
        <v>0</v>
      </c>
      <c r="BL32" s="265" cm="1">
        <f t="array" ref="BL32">SUMPRODUCT(    (CapexCategory=$C32)*  (BL$4&gt;=CapexMonth) *(BL$4&lt;=SalOff) * CapexAmount)</f>
        <v>0</v>
      </c>
      <c r="BM32" s="265" cm="1">
        <f t="array" ref="BM32">SUMPRODUCT(    (CapexCategory=$C32)*  (BM$4&gt;=CapexMonth) *(BM$4&lt;=SalOff) * CapexAmount)</f>
        <v>0</v>
      </c>
      <c r="BN32" s="265" cm="1">
        <f t="array" ref="BN32">SUMPRODUCT(    (CapexCategory=$C32)*  (BN$4&gt;=CapexMonth) *(BN$4&lt;=SalOff) * CapexAmount)</f>
        <v>0</v>
      </c>
      <c r="BO32" s="265" cm="1">
        <f t="array" ref="BO32">SUMPRODUCT(    (CapexCategory=$C32)*  (BO$4&gt;=CapexMonth) *(BO$4&lt;=SalOff) * CapexAmount)</f>
        <v>0</v>
      </c>
      <c r="BP32" s="265" cm="1">
        <f t="array" ref="BP32">SUMPRODUCT(    (CapexCategory=$C32)*  (BP$4&gt;=CapexMonth) *(BP$4&lt;=SalOff) * CapexAmount)</f>
        <v>0</v>
      </c>
      <c r="BQ32" s="265" cm="1">
        <f t="array" ref="BQ32">SUMPRODUCT(    (CapexCategory=$C32)*  (BQ$4&gt;=CapexMonth) *(BQ$4&lt;=SalOff) * CapexAmount)</f>
        <v>0</v>
      </c>
      <c r="BR32" s="263" cm="1">
        <f t="array" ref="BR32">SUMPRODUCT(    (CapexCategory=$C32)*  (BR$4&gt;=CapexMonth) *(BR$4&lt;=SalOff) * CapexAmount)</f>
        <v>0</v>
      </c>
    </row>
    <row r="33" spans="1:70" ht="13.2" hidden="1" x14ac:dyDescent="0.3">
      <c r="C33" s="185" t="s">
        <v>222</v>
      </c>
      <c r="D33" s="14"/>
      <c r="E33" s="263">
        <f t="shared" si="28"/>
        <v>100</v>
      </c>
      <c r="F33" s="263">
        <f t="shared" si="29"/>
        <v>0</v>
      </c>
      <c r="G33" s="263">
        <f t="shared" si="30"/>
        <v>0</v>
      </c>
      <c r="H33" s="263">
        <f t="shared" si="31"/>
        <v>0</v>
      </c>
      <c r="I33" s="263">
        <f t="shared" si="32"/>
        <v>0</v>
      </c>
      <c r="J33" s="264"/>
      <c r="K33" s="265" cm="1">
        <f t="array" ref="K33">SUMPRODUCT(    (CapexCategory=$C33)*  (K$4&gt;=CapexMonth) *(K$4&lt;=SalOff) * CapexAmount)</f>
        <v>0</v>
      </c>
      <c r="L33" s="265" cm="1">
        <f t="array" ref="L33">SUMPRODUCT(    (CapexCategory=$C33)*  (L$4&gt;=CapexMonth) *(L$4&lt;=SalOff) * CapexAmount)</f>
        <v>0</v>
      </c>
      <c r="M33" s="265" cm="1">
        <f t="array" ref="M33">SUMPRODUCT(    (CapexCategory=$C33)*  (M$4&gt;=CapexMonth) *(M$4&lt;=SalOff) * CapexAmount)</f>
        <v>0</v>
      </c>
      <c r="N33" s="265" cm="1">
        <f t="array" ref="N33">SUMPRODUCT(    (CapexCategory=$C33)*  (N$4&gt;=CapexMonth) *(N$4&lt;=SalOff) * CapexAmount)</f>
        <v>0</v>
      </c>
      <c r="O33" s="265" cm="1">
        <f t="array" ref="O33">SUMPRODUCT(    (CapexCategory=$C33)*  (O$4&gt;=CapexMonth) *(O$4&lt;=SalOff) * CapexAmount)</f>
        <v>0</v>
      </c>
      <c r="P33" s="265" cm="1">
        <f t="array" ref="P33">SUMPRODUCT(    (CapexCategory=$C33)*  (P$4&gt;=CapexMonth) *(P$4&lt;=SalOff) * CapexAmount)</f>
        <v>100</v>
      </c>
      <c r="Q33" s="265" cm="1">
        <f t="array" ref="Q33">SUMPRODUCT(    (CapexCategory=$C33)*  (Q$4&gt;=CapexMonth) *(Q$4&lt;=SalOff) * CapexAmount)</f>
        <v>100</v>
      </c>
      <c r="R33" s="265" cm="1">
        <f t="array" ref="R33">SUMPRODUCT(    (CapexCategory=$C33)*  (R$4&gt;=CapexMonth) *(R$4&lt;=SalOff) * CapexAmount)</f>
        <v>100</v>
      </c>
      <c r="S33" s="265" cm="1">
        <f t="array" ref="S33">SUMPRODUCT(    (CapexCategory=$C33)*  (S$4&gt;=CapexMonth) *(S$4&lt;=SalOff) * CapexAmount)</f>
        <v>100</v>
      </c>
      <c r="T33" s="265" cm="1">
        <f t="array" ref="T33">SUMPRODUCT(    (CapexCategory=$C33)*  (T$4&gt;=CapexMonth) *(T$4&lt;=SalOff) * CapexAmount)</f>
        <v>100</v>
      </c>
      <c r="U33" s="265" cm="1">
        <f t="array" ref="U33">SUMPRODUCT(    (CapexCategory=$C33)*  (U$4&gt;=CapexMonth) *(U$4&lt;=SalOff) * CapexAmount)</f>
        <v>100</v>
      </c>
      <c r="V33" s="263" cm="1">
        <f t="array" ref="V33">SUMPRODUCT(    (CapexCategory=$C33)*  (V$4&gt;=CapexMonth) *(V$4&lt;=SalOff) * CapexAmount)</f>
        <v>100</v>
      </c>
      <c r="W33" s="265" cm="1">
        <f t="array" ref="W33">SUMPRODUCT(    (CapexCategory=$C33)*  (W$4&gt;=CapexMonth) *(W$4&lt;=SalOff) * CapexAmount)</f>
        <v>0</v>
      </c>
      <c r="X33" s="265" cm="1">
        <f t="array" ref="X33">SUMPRODUCT(    (CapexCategory=$C33)*  (X$4&gt;=CapexMonth) *(X$4&lt;=SalOff) * CapexAmount)</f>
        <v>0</v>
      </c>
      <c r="Y33" s="265" cm="1">
        <f t="array" ref="Y33">SUMPRODUCT(    (CapexCategory=$C33)*  (Y$4&gt;=CapexMonth) *(Y$4&lt;=SalOff) * CapexAmount)</f>
        <v>0</v>
      </c>
      <c r="Z33" s="265" cm="1">
        <f t="array" ref="Z33">SUMPRODUCT(    (CapexCategory=$C33)*  (Z$4&gt;=CapexMonth) *(Z$4&lt;=SalOff) * CapexAmount)</f>
        <v>0</v>
      </c>
      <c r="AA33" s="265" cm="1">
        <f t="array" ref="AA33">SUMPRODUCT(    (CapexCategory=$C33)*  (AA$4&gt;=CapexMonth) *(AA$4&lt;=SalOff) * CapexAmount)</f>
        <v>0</v>
      </c>
      <c r="AB33" s="265" cm="1">
        <f t="array" ref="AB33">SUMPRODUCT(    (CapexCategory=$C33)*  (AB$4&gt;=CapexMonth) *(AB$4&lt;=SalOff) * CapexAmount)</f>
        <v>0</v>
      </c>
      <c r="AC33" s="265" cm="1">
        <f t="array" ref="AC33">SUMPRODUCT(    (CapexCategory=$C33)*  (AC$4&gt;=CapexMonth) *(AC$4&lt;=SalOff) * CapexAmount)</f>
        <v>0</v>
      </c>
      <c r="AD33" s="265" cm="1">
        <f t="array" ref="AD33">SUMPRODUCT(    (CapexCategory=$C33)*  (AD$4&gt;=CapexMonth) *(AD$4&lt;=SalOff) * CapexAmount)</f>
        <v>0</v>
      </c>
      <c r="AE33" s="265" cm="1">
        <f t="array" ref="AE33">SUMPRODUCT(    (CapexCategory=$C33)*  (AE$4&gt;=CapexMonth) *(AE$4&lt;=SalOff) * CapexAmount)</f>
        <v>0</v>
      </c>
      <c r="AF33" s="265" cm="1">
        <f t="array" ref="AF33">SUMPRODUCT(    (CapexCategory=$C33)*  (AF$4&gt;=CapexMonth) *(AF$4&lt;=SalOff) * CapexAmount)</f>
        <v>0</v>
      </c>
      <c r="AG33" s="265" cm="1">
        <f t="array" ref="AG33">SUMPRODUCT(    (CapexCategory=$C33)*  (AG$4&gt;=CapexMonth) *(AG$4&lt;=SalOff) * CapexAmount)</f>
        <v>0</v>
      </c>
      <c r="AH33" s="263" cm="1">
        <f t="array" ref="AH33">SUMPRODUCT(    (CapexCategory=$C33)*  (AH$4&gt;=CapexMonth) *(AH$4&lt;=SalOff) * CapexAmount)</f>
        <v>0</v>
      </c>
      <c r="AI33" s="265" cm="1">
        <f t="array" ref="AI33">SUMPRODUCT(    (CapexCategory=$C33)*  (AI$4&gt;=CapexMonth) *(AI$4&lt;=SalOff) * CapexAmount)</f>
        <v>0</v>
      </c>
      <c r="AJ33" s="265" cm="1">
        <f t="array" ref="AJ33">SUMPRODUCT(    (CapexCategory=$C33)*  (AJ$4&gt;=CapexMonth) *(AJ$4&lt;=SalOff) * CapexAmount)</f>
        <v>0</v>
      </c>
      <c r="AK33" s="265" cm="1">
        <f t="array" ref="AK33">SUMPRODUCT(    (CapexCategory=$C33)*  (AK$4&gt;=CapexMonth) *(AK$4&lt;=SalOff) * CapexAmount)</f>
        <v>0</v>
      </c>
      <c r="AL33" s="265" cm="1">
        <f t="array" ref="AL33">SUMPRODUCT(    (CapexCategory=$C33)*  (AL$4&gt;=CapexMonth) *(AL$4&lt;=SalOff) * CapexAmount)</f>
        <v>0</v>
      </c>
      <c r="AM33" s="265" cm="1">
        <f t="array" ref="AM33">SUMPRODUCT(    (CapexCategory=$C33)*  (AM$4&gt;=CapexMonth) *(AM$4&lt;=SalOff) * CapexAmount)</f>
        <v>0</v>
      </c>
      <c r="AN33" s="265" cm="1">
        <f t="array" ref="AN33">SUMPRODUCT(    (CapexCategory=$C33)*  (AN$4&gt;=CapexMonth) *(AN$4&lt;=SalOff) * CapexAmount)</f>
        <v>0</v>
      </c>
      <c r="AO33" s="265" cm="1">
        <f t="array" ref="AO33">SUMPRODUCT(    (CapexCategory=$C33)*  (AO$4&gt;=CapexMonth) *(AO$4&lt;=SalOff) * CapexAmount)</f>
        <v>0</v>
      </c>
      <c r="AP33" s="265" cm="1">
        <f t="array" ref="AP33">SUMPRODUCT(    (CapexCategory=$C33)*  (AP$4&gt;=CapexMonth) *(AP$4&lt;=SalOff) * CapexAmount)</f>
        <v>0</v>
      </c>
      <c r="AQ33" s="265" cm="1">
        <f t="array" ref="AQ33">SUMPRODUCT(    (CapexCategory=$C33)*  (AQ$4&gt;=CapexMonth) *(AQ$4&lt;=SalOff) * CapexAmount)</f>
        <v>0</v>
      </c>
      <c r="AR33" s="265" cm="1">
        <f t="array" ref="AR33">SUMPRODUCT(    (CapexCategory=$C33)*  (AR$4&gt;=CapexMonth) *(AR$4&lt;=SalOff) * CapexAmount)</f>
        <v>0</v>
      </c>
      <c r="AS33" s="265" cm="1">
        <f t="array" ref="AS33">SUMPRODUCT(    (CapexCategory=$C33)*  (AS$4&gt;=CapexMonth) *(AS$4&lt;=SalOff) * CapexAmount)</f>
        <v>0</v>
      </c>
      <c r="AT33" s="263" cm="1">
        <f t="array" ref="AT33">SUMPRODUCT(    (CapexCategory=$C33)*  (AT$4&gt;=CapexMonth) *(AT$4&lt;=SalOff) * CapexAmount)</f>
        <v>0</v>
      </c>
      <c r="AU33" s="265" cm="1">
        <f t="array" ref="AU33">SUMPRODUCT(    (CapexCategory=$C33)*  (AU$4&gt;=CapexMonth) *(AU$4&lt;=SalOff) * CapexAmount)</f>
        <v>0</v>
      </c>
      <c r="AV33" s="265" cm="1">
        <f t="array" ref="AV33">SUMPRODUCT(    (CapexCategory=$C33)*  (AV$4&gt;=CapexMonth) *(AV$4&lt;=SalOff) * CapexAmount)</f>
        <v>0</v>
      </c>
      <c r="AW33" s="265" cm="1">
        <f t="array" ref="AW33">SUMPRODUCT(    (CapexCategory=$C33)*  (AW$4&gt;=CapexMonth) *(AW$4&lt;=SalOff) * CapexAmount)</f>
        <v>0</v>
      </c>
      <c r="AX33" s="265" cm="1">
        <f t="array" ref="AX33">SUMPRODUCT(    (CapexCategory=$C33)*  (AX$4&gt;=CapexMonth) *(AX$4&lt;=SalOff) * CapexAmount)</f>
        <v>0</v>
      </c>
      <c r="AY33" s="265" cm="1">
        <f t="array" ref="AY33">SUMPRODUCT(    (CapexCategory=$C33)*  (AY$4&gt;=CapexMonth) *(AY$4&lt;=SalOff) * CapexAmount)</f>
        <v>0</v>
      </c>
      <c r="AZ33" s="265" cm="1">
        <f t="array" ref="AZ33">SUMPRODUCT(    (CapexCategory=$C33)*  (AZ$4&gt;=CapexMonth) *(AZ$4&lt;=SalOff) * CapexAmount)</f>
        <v>0</v>
      </c>
      <c r="BA33" s="265" cm="1">
        <f t="array" ref="BA33">SUMPRODUCT(    (CapexCategory=$C33)*  (BA$4&gt;=CapexMonth) *(BA$4&lt;=SalOff) * CapexAmount)</f>
        <v>0</v>
      </c>
      <c r="BB33" s="265" cm="1">
        <f t="array" ref="BB33">SUMPRODUCT(    (CapexCategory=$C33)*  (BB$4&gt;=CapexMonth) *(BB$4&lt;=SalOff) * CapexAmount)</f>
        <v>0</v>
      </c>
      <c r="BC33" s="265" cm="1">
        <f t="array" ref="BC33">SUMPRODUCT(    (CapexCategory=$C33)*  (BC$4&gt;=CapexMonth) *(BC$4&lt;=SalOff) * CapexAmount)</f>
        <v>0</v>
      </c>
      <c r="BD33" s="265" cm="1">
        <f t="array" ref="BD33">SUMPRODUCT(    (CapexCategory=$C33)*  (BD$4&gt;=CapexMonth) *(BD$4&lt;=SalOff) * CapexAmount)</f>
        <v>0</v>
      </c>
      <c r="BE33" s="265" cm="1">
        <f t="array" ref="BE33">SUMPRODUCT(    (CapexCategory=$C33)*  (BE$4&gt;=CapexMonth) *(BE$4&lt;=SalOff) * CapexAmount)</f>
        <v>0</v>
      </c>
      <c r="BF33" s="263" cm="1">
        <f t="array" ref="BF33">SUMPRODUCT(    (CapexCategory=$C33)*  (BF$4&gt;=CapexMonth) *(BF$4&lt;=SalOff) * CapexAmount)</f>
        <v>0</v>
      </c>
      <c r="BG33" s="265" cm="1">
        <f t="array" ref="BG33">SUMPRODUCT(    (CapexCategory=$C33)*  (BG$4&gt;=CapexMonth) *(BG$4&lt;=SalOff) * CapexAmount)</f>
        <v>0</v>
      </c>
      <c r="BH33" s="265" cm="1">
        <f t="array" ref="BH33">SUMPRODUCT(    (CapexCategory=$C33)*  (BH$4&gt;=CapexMonth) *(BH$4&lt;=SalOff) * CapexAmount)</f>
        <v>0</v>
      </c>
      <c r="BI33" s="265" cm="1">
        <f t="array" ref="BI33">SUMPRODUCT(    (CapexCategory=$C33)*  (BI$4&gt;=CapexMonth) *(BI$4&lt;=SalOff) * CapexAmount)</f>
        <v>0</v>
      </c>
      <c r="BJ33" s="265" cm="1">
        <f t="array" ref="BJ33">SUMPRODUCT(    (CapexCategory=$C33)*  (BJ$4&gt;=CapexMonth) *(BJ$4&lt;=SalOff) * CapexAmount)</f>
        <v>0</v>
      </c>
      <c r="BK33" s="265" cm="1">
        <f t="array" ref="BK33">SUMPRODUCT(    (CapexCategory=$C33)*  (BK$4&gt;=CapexMonth) *(BK$4&lt;=SalOff) * CapexAmount)</f>
        <v>0</v>
      </c>
      <c r="BL33" s="265" cm="1">
        <f t="array" ref="BL33">SUMPRODUCT(    (CapexCategory=$C33)*  (BL$4&gt;=CapexMonth) *(BL$4&lt;=SalOff) * CapexAmount)</f>
        <v>0</v>
      </c>
      <c r="BM33" s="265" cm="1">
        <f t="array" ref="BM33">SUMPRODUCT(    (CapexCategory=$C33)*  (BM$4&gt;=CapexMonth) *(BM$4&lt;=SalOff) * CapexAmount)</f>
        <v>0</v>
      </c>
      <c r="BN33" s="265" cm="1">
        <f t="array" ref="BN33">SUMPRODUCT(    (CapexCategory=$C33)*  (BN$4&gt;=CapexMonth) *(BN$4&lt;=SalOff) * CapexAmount)</f>
        <v>0</v>
      </c>
      <c r="BO33" s="265" cm="1">
        <f t="array" ref="BO33">SUMPRODUCT(    (CapexCategory=$C33)*  (BO$4&gt;=CapexMonth) *(BO$4&lt;=SalOff) * CapexAmount)</f>
        <v>0</v>
      </c>
      <c r="BP33" s="265" cm="1">
        <f t="array" ref="BP33">SUMPRODUCT(    (CapexCategory=$C33)*  (BP$4&gt;=CapexMonth) *(BP$4&lt;=SalOff) * CapexAmount)</f>
        <v>0</v>
      </c>
      <c r="BQ33" s="265" cm="1">
        <f t="array" ref="BQ33">SUMPRODUCT(    (CapexCategory=$C33)*  (BQ$4&gt;=CapexMonth) *(BQ$4&lt;=SalOff) * CapexAmount)</f>
        <v>0</v>
      </c>
      <c r="BR33" s="263" cm="1">
        <f t="array" ref="BR33">SUMPRODUCT(    (CapexCategory=$C33)*  (BR$4&gt;=CapexMonth) *(BR$4&lt;=SalOff) * CapexAmount)</f>
        <v>0</v>
      </c>
    </row>
    <row r="34" spans="1:70" ht="13.2" hidden="1" x14ac:dyDescent="0.3">
      <c r="C34" s="185" t="s">
        <v>223</v>
      </c>
      <c r="D34" s="14"/>
      <c r="E34" s="263">
        <f t="shared" si="28"/>
        <v>50</v>
      </c>
      <c r="F34" s="263">
        <f t="shared" si="29"/>
        <v>50</v>
      </c>
      <c r="G34" s="263">
        <f t="shared" si="30"/>
        <v>50</v>
      </c>
      <c r="H34" s="263">
        <f t="shared" si="31"/>
        <v>50</v>
      </c>
      <c r="I34" s="263">
        <f t="shared" si="32"/>
        <v>0</v>
      </c>
      <c r="J34" s="264"/>
      <c r="K34" s="265" cm="1">
        <f t="array" ref="K34">SUMPRODUCT(    (CapexCategory=$C34)*  (K$4&gt;=CapexMonth) *(K$4&lt;=SalOff) * CapexAmount)</f>
        <v>0</v>
      </c>
      <c r="L34" s="265" cm="1">
        <f t="array" ref="L34">SUMPRODUCT(    (CapexCategory=$C34)*  (L$4&gt;=CapexMonth) *(L$4&lt;=SalOff) * CapexAmount)</f>
        <v>0</v>
      </c>
      <c r="M34" s="265" cm="1">
        <f t="array" ref="M34">SUMPRODUCT(    (CapexCategory=$C34)*  (M$4&gt;=CapexMonth) *(M$4&lt;=SalOff) * CapexAmount)</f>
        <v>50</v>
      </c>
      <c r="N34" s="265" cm="1">
        <f t="array" ref="N34">SUMPRODUCT(    (CapexCategory=$C34)*  (N$4&gt;=CapexMonth) *(N$4&lt;=SalOff) * CapexAmount)</f>
        <v>50</v>
      </c>
      <c r="O34" s="265" cm="1">
        <f t="array" ref="O34">SUMPRODUCT(    (CapexCategory=$C34)*  (O$4&gt;=CapexMonth) *(O$4&lt;=SalOff) * CapexAmount)</f>
        <v>50</v>
      </c>
      <c r="P34" s="265" cm="1">
        <f t="array" ref="P34">SUMPRODUCT(    (CapexCategory=$C34)*  (P$4&gt;=CapexMonth) *(P$4&lt;=SalOff) * CapexAmount)</f>
        <v>50</v>
      </c>
      <c r="Q34" s="265" cm="1">
        <f t="array" ref="Q34">SUMPRODUCT(    (CapexCategory=$C34)*  (Q$4&gt;=CapexMonth) *(Q$4&lt;=SalOff) * CapexAmount)</f>
        <v>50</v>
      </c>
      <c r="R34" s="265" cm="1">
        <f t="array" ref="R34">SUMPRODUCT(    (CapexCategory=$C34)*  (R$4&gt;=CapexMonth) *(R$4&lt;=SalOff) * CapexAmount)</f>
        <v>50</v>
      </c>
      <c r="S34" s="265" cm="1">
        <f t="array" ref="S34">SUMPRODUCT(    (CapexCategory=$C34)*  (S$4&gt;=CapexMonth) *(S$4&lt;=SalOff) * CapexAmount)</f>
        <v>50</v>
      </c>
      <c r="T34" s="265" cm="1">
        <f t="array" ref="T34">SUMPRODUCT(    (CapexCategory=$C34)*  (T$4&gt;=CapexMonth) *(T$4&lt;=SalOff) * CapexAmount)</f>
        <v>50</v>
      </c>
      <c r="U34" s="265" cm="1">
        <f t="array" ref="U34">SUMPRODUCT(    (CapexCategory=$C34)*  (U$4&gt;=CapexMonth) *(U$4&lt;=SalOff) * CapexAmount)</f>
        <v>50</v>
      </c>
      <c r="V34" s="263" cm="1">
        <f t="array" ref="V34">SUMPRODUCT(    (CapexCategory=$C34)*  (V$4&gt;=CapexMonth) *(V$4&lt;=SalOff) * CapexAmount)</f>
        <v>50</v>
      </c>
      <c r="W34" s="265" cm="1">
        <f t="array" ref="W34">SUMPRODUCT(    (CapexCategory=$C34)*  (W$4&gt;=CapexMonth) *(W$4&lt;=SalOff) * CapexAmount)</f>
        <v>50</v>
      </c>
      <c r="X34" s="265" cm="1">
        <f t="array" ref="X34">SUMPRODUCT(    (CapexCategory=$C34)*  (X$4&gt;=CapexMonth) *(X$4&lt;=SalOff) * CapexAmount)</f>
        <v>50</v>
      </c>
      <c r="Y34" s="265" cm="1">
        <f t="array" ref="Y34">SUMPRODUCT(    (CapexCategory=$C34)*  (Y$4&gt;=CapexMonth) *(Y$4&lt;=SalOff) * CapexAmount)</f>
        <v>50</v>
      </c>
      <c r="Z34" s="265" cm="1">
        <f t="array" ref="Z34">SUMPRODUCT(    (CapexCategory=$C34)*  (Z$4&gt;=CapexMonth) *(Z$4&lt;=SalOff) * CapexAmount)</f>
        <v>50</v>
      </c>
      <c r="AA34" s="265" cm="1">
        <f t="array" ref="AA34">SUMPRODUCT(    (CapexCategory=$C34)*  (AA$4&gt;=CapexMonth) *(AA$4&lt;=SalOff) * CapexAmount)</f>
        <v>50</v>
      </c>
      <c r="AB34" s="265" cm="1">
        <f t="array" ref="AB34">SUMPRODUCT(    (CapexCategory=$C34)*  (AB$4&gt;=CapexMonth) *(AB$4&lt;=SalOff) * CapexAmount)</f>
        <v>50</v>
      </c>
      <c r="AC34" s="265" cm="1">
        <f t="array" ref="AC34">SUMPRODUCT(    (CapexCategory=$C34)*  (AC$4&gt;=CapexMonth) *(AC$4&lt;=SalOff) * CapexAmount)</f>
        <v>50</v>
      </c>
      <c r="AD34" s="265" cm="1">
        <f t="array" ref="AD34">SUMPRODUCT(    (CapexCategory=$C34)*  (AD$4&gt;=CapexMonth) *(AD$4&lt;=SalOff) * CapexAmount)</f>
        <v>50</v>
      </c>
      <c r="AE34" s="265" cm="1">
        <f t="array" ref="AE34">SUMPRODUCT(    (CapexCategory=$C34)*  (AE$4&gt;=CapexMonth) *(AE$4&lt;=SalOff) * CapexAmount)</f>
        <v>50</v>
      </c>
      <c r="AF34" s="265" cm="1">
        <f t="array" ref="AF34">SUMPRODUCT(    (CapexCategory=$C34)*  (AF$4&gt;=CapexMonth) *(AF$4&lt;=SalOff) * CapexAmount)</f>
        <v>50</v>
      </c>
      <c r="AG34" s="265" cm="1">
        <f t="array" ref="AG34">SUMPRODUCT(    (CapexCategory=$C34)*  (AG$4&gt;=CapexMonth) *(AG$4&lt;=SalOff) * CapexAmount)</f>
        <v>50</v>
      </c>
      <c r="AH34" s="263" cm="1">
        <f t="array" ref="AH34">SUMPRODUCT(    (CapexCategory=$C34)*  (AH$4&gt;=CapexMonth) *(AH$4&lt;=SalOff) * CapexAmount)</f>
        <v>50</v>
      </c>
      <c r="AI34" s="265" cm="1">
        <f t="array" ref="AI34">SUMPRODUCT(    (CapexCategory=$C34)*  (AI$4&gt;=CapexMonth) *(AI$4&lt;=SalOff) * CapexAmount)</f>
        <v>50</v>
      </c>
      <c r="AJ34" s="265" cm="1">
        <f t="array" ref="AJ34">SUMPRODUCT(    (CapexCategory=$C34)*  (AJ$4&gt;=CapexMonth) *(AJ$4&lt;=SalOff) * CapexAmount)</f>
        <v>50</v>
      </c>
      <c r="AK34" s="265" cm="1">
        <f t="array" ref="AK34">SUMPRODUCT(    (CapexCategory=$C34)*  (AK$4&gt;=CapexMonth) *(AK$4&lt;=SalOff) * CapexAmount)</f>
        <v>50</v>
      </c>
      <c r="AL34" s="265" cm="1">
        <f t="array" ref="AL34">SUMPRODUCT(    (CapexCategory=$C34)*  (AL$4&gt;=CapexMonth) *(AL$4&lt;=SalOff) * CapexAmount)</f>
        <v>50</v>
      </c>
      <c r="AM34" s="265" cm="1">
        <f t="array" ref="AM34">SUMPRODUCT(    (CapexCategory=$C34)*  (AM$4&gt;=CapexMonth) *(AM$4&lt;=SalOff) * CapexAmount)</f>
        <v>50</v>
      </c>
      <c r="AN34" s="265" cm="1">
        <f t="array" ref="AN34">SUMPRODUCT(    (CapexCategory=$C34)*  (AN$4&gt;=CapexMonth) *(AN$4&lt;=SalOff) * CapexAmount)</f>
        <v>50</v>
      </c>
      <c r="AO34" s="265" cm="1">
        <f t="array" ref="AO34">SUMPRODUCT(    (CapexCategory=$C34)*  (AO$4&gt;=CapexMonth) *(AO$4&lt;=SalOff) * CapexAmount)</f>
        <v>50</v>
      </c>
      <c r="AP34" s="265" cm="1">
        <f t="array" ref="AP34">SUMPRODUCT(    (CapexCategory=$C34)*  (AP$4&gt;=CapexMonth) *(AP$4&lt;=SalOff) * CapexAmount)</f>
        <v>50</v>
      </c>
      <c r="AQ34" s="265" cm="1">
        <f t="array" ref="AQ34">SUMPRODUCT(    (CapexCategory=$C34)*  (AQ$4&gt;=CapexMonth) *(AQ$4&lt;=SalOff) * CapexAmount)</f>
        <v>50</v>
      </c>
      <c r="AR34" s="265" cm="1">
        <f t="array" ref="AR34">SUMPRODUCT(    (CapexCategory=$C34)*  (AR$4&gt;=CapexMonth) *(AR$4&lt;=SalOff) * CapexAmount)</f>
        <v>50</v>
      </c>
      <c r="AS34" s="265" cm="1">
        <f t="array" ref="AS34">SUMPRODUCT(    (CapexCategory=$C34)*  (AS$4&gt;=CapexMonth) *(AS$4&lt;=SalOff) * CapexAmount)</f>
        <v>50</v>
      </c>
      <c r="AT34" s="263" cm="1">
        <f t="array" ref="AT34">SUMPRODUCT(    (CapexCategory=$C34)*  (AT$4&gt;=CapexMonth) *(AT$4&lt;=SalOff) * CapexAmount)</f>
        <v>50</v>
      </c>
      <c r="AU34" s="265" cm="1">
        <f t="array" ref="AU34">SUMPRODUCT(    (CapexCategory=$C34)*  (AU$4&gt;=CapexMonth) *(AU$4&lt;=SalOff) * CapexAmount)</f>
        <v>50</v>
      </c>
      <c r="AV34" s="265" cm="1">
        <f t="array" ref="AV34">SUMPRODUCT(    (CapexCategory=$C34)*  (AV$4&gt;=CapexMonth) *(AV$4&lt;=SalOff) * CapexAmount)</f>
        <v>50</v>
      </c>
      <c r="AW34" s="265" cm="1">
        <f t="array" ref="AW34">SUMPRODUCT(    (CapexCategory=$C34)*  (AW$4&gt;=CapexMonth) *(AW$4&lt;=SalOff) * CapexAmount)</f>
        <v>50</v>
      </c>
      <c r="AX34" s="265" cm="1">
        <f t="array" ref="AX34">SUMPRODUCT(    (CapexCategory=$C34)*  (AX$4&gt;=CapexMonth) *(AX$4&lt;=SalOff) * CapexAmount)</f>
        <v>50</v>
      </c>
      <c r="AY34" s="265" cm="1">
        <f t="array" ref="AY34">SUMPRODUCT(    (CapexCategory=$C34)*  (AY$4&gt;=CapexMonth) *(AY$4&lt;=SalOff) * CapexAmount)</f>
        <v>50</v>
      </c>
      <c r="AZ34" s="265" cm="1">
        <f t="array" ref="AZ34">SUMPRODUCT(    (CapexCategory=$C34)*  (AZ$4&gt;=CapexMonth) *(AZ$4&lt;=SalOff) * CapexAmount)</f>
        <v>50</v>
      </c>
      <c r="BA34" s="265" cm="1">
        <f t="array" ref="BA34">SUMPRODUCT(    (CapexCategory=$C34)*  (BA$4&gt;=CapexMonth) *(BA$4&lt;=SalOff) * CapexAmount)</f>
        <v>50</v>
      </c>
      <c r="BB34" s="265" cm="1">
        <f t="array" ref="BB34">SUMPRODUCT(    (CapexCategory=$C34)*  (BB$4&gt;=CapexMonth) *(BB$4&lt;=SalOff) * CapexAmount)</f>
        <v>50</v>
      </c>
      <c r="BC34" s="265" cm="1">
        <f t="array" ref="BC34">SUMPRODUCT(    (CapexCategory=$C34)*  (BC$4&gt;=CapexMonth) *(BC$4&lt;=SalOff) * CapexAmount)</f>
        <v>50</v>
      </c>
      <c r="BD34" s="265" cm="1">
        <f t="array" ref="BD34">SUMPRODUCT(    (CapexCategory=$C34)*  (BD$4&gt;=CapexMonth) *(BD$4&lt;=SalOff) * CapexAmount)</f>
        <v>50</v>
      </c>
      <c r="BE34" s="265" cm="1">
        <f t="array" ref="BE34">SUMPRODUCT(    (CapexCategory=$C34)*  (BE$4&gt;=CapexMonth) *(BE$4&lt;=SalOff) * CapexAmount)</f>
        <v>50</v>
      </c>
      <c r="BF34" s="263" cm="1">
        <f t="array" ref="BF34">SUMPRODUCT(    (CapexCategory=$C34)*  (BF$4&gt;=CapexMonth) *(BF$4&lt;=SalOff) * CapexAmount)</f>
        <v>50</v>
      </c>
      <c r="BG34" s="265" cm="1">
        <f t="array" ref="BG34">SUMPRODUCT(    (CapexCategory=$C34)*  (BG$4&gt;=CapexMonth) *(BG$4&lt;=SalOff) * CapexAmount)</f>
        <v>50</v>
      </c>
      <c r="BH34" s="265" cm="1">
        <f t="array" ref="BH34">SUMPRODUCT(    (CapexCategory=$C34)*  (BH$4&gt;=CapexMonth) *(BH$4&lt;=SalOff) * CapexAmount)</f>
        <v>50</v>
      </c>
      <c r="BI34" s="265" cm="1">
        <f t="array" ref="BI34">SUMPRODUCT(    (CapexCategory=$C34)*  (BI$4&gt;=CapexMonth) *(BI$4&lt;=SalOff) * CapexAmount)</f>
        <v>50</v>
      </c>
      <c r="BJ34" s="265" cm="1">
        <f t="array" ref="BJ34">SUMPRODUCT(    (CapexCategory=$C34)*  (BJ$4&gt;=CapexMonth) *(BJ$4&lt;=SalOff) * CapexAmount)</f>
        <v>50</v>
      </c>
      <c r="BK34" s="265" cm="1">
        <f t="array" ref="BK34">SUMPRODUCT(    (CapexCategory=$C34)*  (BK$4&gt;=CapexMonth) *(BK$4&lt;=SalOff) * CapexAmount)</f>
        <v>50</v>
      </c>
      <c r="BL34" s="265" cm="1">
        <f t="array" ref="BL34">SUMPRODUCT(    (CapexCategory=$C34)*  (BL$4&gt;=CapexMonth) *(BL$4&lt;=SalOff) * CapexAmount)</f>
        <v>50</v>
      </c>
      <c r="BM34" s="265" cm="1">
        <f t="array" ref="BM34">SUMPRODUCT(    (CapexCategory=$C34)*  (BM$4&gt;=CapexMonth) *(BM$4&lt;=SalOff) * CapexAmount)</f>
        <v>50</v>
      </c>
      <c r="BN34" s="265" cm="1">
        <f t="array" ref="BN34">SUMPRODUCT(    (CapexCategory=$C34)*  (BN$4&gt;=CapexMonth) *(BN$4&lt;=SalOff) * CapexAmount)</f>
        <v>50</v>
      </c>
      <c r="BO34" s="265" cm="1">
        <f t="array" ref="BO34">SUMPRODUCT(    (CapexCategory=$C34)*  (BO$4&gt;=CapexMonth) *(BO$4&lt;=SalOff) * CapexAmount)</f>
        <v>50</v>
      </c>
      <c r="BP34" s="265" cm="1">
        <f t="array" ref="BP34">SUMPRODUCT(    (CapexCategory=$C34)*  (BP$4&gt;=CapexMonth) *(BP$4&lt;=SalOff) * CapexAmount)</f>
        <v>50</v>
      </c>
      <c r="BQ34" s="265" cm="1">
        <f t="array" ref="BQ34">SUMPRODUCT(    (CapexCategory=$C34)*  (BQ$4&gt;=CapexMonth) *(BQ$4&lt;=SalOff) * CapexAmount)</f>
        <v>0</v>
      </c>
      <c r="BR34" s="263" cm="1">
        <f t="array" ref="BR34">SUMPRODUCT(    (CapexCategory=$C34)*  (BR$4&gt;=CapexMonth) *(BR$4&lt;=SalOff) * CapexAmount)</f>
        <v>0</v>
      </c>
    </row>
    <row r="35" spans="1:70" ht="13.2" hidden="1" x14ac:dyDescent="0.3">
      <c r="C35" s="246" t="s">
        <v>224</v>
      </c>
      <c r="D35" s="14"/>
      <c r="E35" s="247">
        <f t="shared" si="28"/>
        <v>0</v>
      </c>
      <c r="F35" s="247">
        <f t="shared" si="29"/>
        <v>0</v>
      </c>
      <c r="G35" s="247">
        <f t="shared" si="30"/>
        <v>0</v>
      </c>
      <c r="H35" s="247">
        <f t="shared" si="31"/>
        <v>0</v>
      </c>
      <c r="I35" s="247">
        <f t="shared" si="32"/>
        <v>0</v>
      </c>
      <c r="J35" s="264"/>
      <c r="K35" s="226" cm="1">
        <f t="array" ref="K35">SUMPRODUCT(   ((ISBLANK(CapexCategory) + (CapexCategory="Other"))&gt;0)  *  (K$4&gt;=CapexMonth) *(K$4&lt;=SalOff) * CapexAmount)</f>
        <v>0</v>
      </c>
      <c r="L35" s="226" cm="1">
        <f t="array" ref="L35">SUMPRODUCT(   ((ISBLANK(CapexCategory) + (CapexCategory="Other"))&gt;0)  *  (L$4&gt;=CapexMonth) *(L$4&lt;=SalOff) * CapexAmount)</f>
        <v>0</v>
      </c>
      <c r="M35" s="226" cm="1">
        <f t="array" ref="M35">SUMPRODUCT(   ((ISBLANK(CapexCategory) + (CapexCategory="Other"))&gt;0)  *  (M$4&gt;=CapexMonth) *(M$4&lt;=SalOff) * CapexAmount)</f>
        <v>0</v>
      </c>
      <c r="N35" s="226" cm="1">
        <f t="array" ref="N35">SUMPRODUCT(   ((ISBLANK(CapexCategory) + (CapexCategory="Other"))&gt;0)  *  (N$4&gt;=CapexMonth) *(N$4&lt;=SalOff) * CapexAmount)</f>
        <v>0</v>
      </c>
      <c r="O35" s="226" cm="1">
        <f t="array" ref="O35">SUMPRODUCT(   ((ISBLANK(CapexCategory) + (CapexCategory="Other"))&gt;0)  *  (O$4&gt;=CapexMonth) *(O$4&lt;=SalOff) * CapexAmount)</f>
        <v>0</v>
      </c>
      <c r="P35" s="226" cm="1">
        <f t="array" ref="P35">SUMPRODUCT(   ((ISBLANK(CapexCategory) + (CapexCategory="Other"))&gt;0)  *  (P$4&gt;=CapexMonth) *(P$4&lt;=SalOff) * CapexAmount)</f>
        <v>0</v>
      </c>
      <c r="Q35" s="226" cm="1">
        <f t="array" ref="Q35">SUMPRODUCT(   ((ISBLANK(CapexCategory) + (CapexCategory="Other"))&gt;0)  *  (Q$4&gt;=CapexMonth) *(Q$4&lt;=SalOff) * CapexAmount)</f>
        <v>0</v>
      </c>
      <c r="R35" s="226" cm="1">
        <f t="array" ref="R35">SUMPRODUCT(   ((ISBLANK(CapexCategory) + (CapexCategory="Other"))&gt;0)  *  (R$4&gt;=CapexMonth) *(R$4&lt;=SalOff) * CapexAmount)</f>
        <v>0</v>
      </c>
      <c r="S35" s="226" cm="1">
        <f t="array" ref="S35">SUMPRODUCT(   ((ISBLANK(CapexCategory) + (CapexCategory="Other"))&gt;0)  *  (S$4&gt;=CapexMonth) *(S$4&lt;=SalOff) * CapexAmount)</f>
        <v>0</v>
      </c>
      <c r="T35" s="226" cm="1">
        <f t="array" ref="T35">SUMPRODUCT(   ((ISBLANK(CapexCategory) + (CapexCategory="Other"))&gt;0)  *  (T$4&gt;=CapexMonth) *(T$4&lt;=SalOff) * CapexAmount)</f>
        <v>0</v>
      </c>
      <c r="U35" s="226" cm="1">
        <f t="array" ref="U35">SUMPRODUCT(   ((ISBLANK(CapexCategory) + (CapexCategory="Other"))&gt;0)  *  (U$4&gt;=CapexMonth) *(U$4&lt;=SalOff) * CapexAmount)</f>
        <v>0</v>
      </c>
      <c r="V35" s="247" cm="1">
        <f t="array" ref="V35">SUMPRODUCT(   ((ISBLANK(CapexCategory) + (CapexCategory="Other"))&gt;0)  *  (V$4&gt;=CapexMonth) *(V$4&lt;=SalOff) * CapexAmount)</f>
        <v>0</v>
      </c>
      <c r="W35" s="226" cm="1">
        <f t="array" ref="W35">SUMPRODUCT(   ((ISBLANK(CapexCategory) + (CapexCategory="Other"))&gt;0)  *  (W$4&gt;=CapexMonth) *(W$4&lt;=SalOff) * CapexAmount)</f>
        <v>0</v>
      </c>
      <c r="X35" s="226" cm="1">
        <f t="array" ref="X35">SUMPRODUCT(   ((ISBLANK(CapexCategory) + (CapexCategory="Other"))&gt;0)  *  (X$4&gt;=CapexMonth) *(X$4&lt;=SalOff) * CapexAmount)</f>
        <v>0</v>
      </c>
      <c r="Y35" s="226" cm="1">
        <f t="array" ref="Y35">SUMPRODUCT(   ((ISBLANK(CapexCategory) + (CapexCategory="Other"))&gt;0)  *  (Y$4&gt;=CapexMonth) *(Y$4&lt;=SalOff) * CapexAmount)</f>
        <v>0</v>
      </c>
      <c r="Z35" s="226" cm="1">
        <f t="array" ref="Z35">SUMPRODUCT(   ((ISBLANK(CapexCategory) + (CapexCategory="Other"))&gt;0)  *  (Z$4&gt;=CapexMonth) *(Z$4&lt;=SalOff) * CapexAmount)</f>
        <v>0</v>
      </c>
      <c r="AA35" s="226" cm="1">
        <f t="array" ref="AA35">SUMPRODUCT(   ((ISBLANK(CapexCategory) + (CapexCategory="Other"))&gt;0)  *  (AA$4&gt;=CapexMonth) *(AA$4&lt;=SalOff) * CapexAmount)</f>
        <v>0</v>
      </c>
      <c r="AB35" s="226" cm="1">
        <f t="array" ref="AB35">SUMPRODUCT(   ((ISBLANK(CapexCategory) + (CapexCategory="Other"))&gt;0)  *  (AB$4&gt;=CapexMonth) *(AB$4&lt;=SalOff) * CapexAmount)</f>
        <v>0</v>
      </c>
      <c r="AC35" s="226" cm="1">
        <f t="array" ref="AC35">SUMPRODUCT(   ((ISBLANK(CapexCategory) + (CapexCategory="Other"))&gt;0)  *  (AC$4&gt;=CapexMonth) *(AC$4&lt;=SalOff) * CapexAmount)</f>
        <v>0</v>
      </c>
      <c r="AD35" s="226" cm="1">
        <f t="array" ref="AD35">SUMPRODUCT(   ((ISBLANK(CapexCategory) + (CapexCategory="Other"))&gt;0)  *  (AD$4&gt;=CapexMonth) *(AD$4&lt;=SalOff) * CapexAmount)</f>
        <v>0</v>
      </c>
      <c r="AE35" s="226" cm="1">
        <f t="array" ref="AE35">SUMPRODUCT(   ((ISBLANK(CapexCategory) + (CapexCategory="Other"))&gt;0)  *  (AE$4&gt;=CapexMonth) *(AE$4&lt;=SalOff) * CapexAmount)</f>
        <v>0</v>
      </c>
      <c r="AF35" s="226" cm="1">
        <f t="array" ref="AF35">SUMPRODUCT(   ((ISBLANK(CapexCategory) + (CapexCategory="Other"))&gt;0)  *  (AF$4&gt;=CapexMonth) *(AF$4&lt;=SalOff) * CapexAmount)</f>
        <v>0</v>
      </c>
      <c r="AG35" s="226" cm="1">
        <f t="array" ref="AG35">SUMPRODUCT(   ((ISBLANK(CapexCategory) + (CapexCategory="Other"))&gt;0)  *  (AG$4&gt;=CapexMonth) *(AG$4&lt;=SalOff) * CapexAmount)</f>
        <v>0</v>
      </c>
      <c r="AH35" s="247" cm="1">
        <f t="array" ref="AH35">SUMPRODUCT(   ((ISBLANK(CapexCategory) + (CapexCategory="Other"))&gt;0)  *  (AH$4&gt;=CapexMonth) *(AH$4&lt;=SalOff) * CapexAmount)</f>
        <v>0</v>
      </c>
      <c r="AI35" s="226" cm="1">
        <f t="array" ref="AI35">SUMPRODUCT(   ((ISBLANK(CapexCategory) + (CapexCategory="Other"))&gt;0)  *  (AI$4&gt;=CapexMonth) *(AI$4&lt;=SalOff) * CapexAmount)</f>
        <v>0</v>
      </c>
      <c r="AJ35" s="226" cm="1">
        <f t="array" ref="AJ35">SUMPRODUCT(   ((ISBLANK(CapexCategory) + (CapexCategory="Other"))&gt;0)  *  (AJ$4&gt;=CapexMonth) *(AJ$4&lt;=SalOff) * CapexAmount)</f>
        <v>0</v>
      </c>
      <c r="AK35" s="226" cm="1">
        <f t="array" ref="AK35">SUMPRODUCT(   ((ISBLANK(CapexCategory) + (CapexCategory="Other"))&gt;0)  *  (AK$4&gt;=CapexMonth) *(AK$4&lt;=SalOff) * CapexAmount)</f>
        <v>0</v>
      </c>
      <c r="AL35" s="226" cm="1">
        <f t="array" ref="AL35">SUMPRODUCT(   ((ISBLANK(CapexCategory) + (CapexCategory="Other"))&gt;0)  *  (AL$4&gt;=CapexMonth) *(AL$4&lt;=SalOff) * CapexAmount)</f>
        <v>0</v>
      </c>
      <c r="AM35" s="226" cm="1">
        <f t="array" ref="AM35">SUMPRODUCT(   ((ISBLANK(CapexCategory) + (CapexCategory="Other"))&gt;0)  *  (AM$4&gt;=CapexMonth) *(AM$4&lt;=SalOff) * CapexAmount)</f>
        <v>0</v>
      </c>
      <c r="AN35" s="226" cm="1">
        <f t="array" ref="AN35">SUMPRODUCT(   ((ISBLANK(CapexCategory) + (CapexCategory="Other"))&gt;0)  *  (AN$4&gt;=CapexMonth) *(AN$4&lt;=SalOff) * CapexAmount)</f>
        <v>0</v>
      </c>
      <c r="AO35" s="226" cm="1">
        <f t="array" ref="AO35">SUMPRODUCT(   ((ISBLANK(CapexCategory) + (CapexCategory="Other"))&gt;0)  *  (AO$4&gt;=CapexMonth) *(AO$4&lt;=SalOff) * CapexAmount)</f>
        <v>0</v>
      </c>
      <c r="AP35" s="226" cm="1">
        <f t="array" ref="AP35">SUMPRODUCT(   ((ISBLANK(CapexCategory) + (CapexCategory="Other"))&gt;0)  *  (AP$4&gt;=CapexMonth) *(AP$4&lt;=SalOff) * CapexAmount)</f>
        <v>0</v>
      </c>
      <c r="AQ35" s="226" cm="1">
        <f t="array" ref="AQ35">SUMPRODUCT(   ((ISBLANK(CapexCategory) + (CapexCategory="Other"))&gt;0)  *  (AQ$4&gt;=CapexMonth) *(AQ$4&lt;=SalOff) * CapexAmount)</f>
        <v>0</v>
      </c>
      <c r="AR35" s="226" cm="1">
        <f t="array" ref="AR35">SUMPRODUCT(   ((ISBLANK(CapexCategory) + (CapexCategory="Other"))&gt;0)  *  (AR$4&gt;=CapexMonth) *(AR$4&lt;=SalOff) * CapexAmount)</f>
        <v>0</v>
      </c>
      <c r="AS35" s="226" cm="1">
        <f t="array" ref="AS35">SUMPRODUCT(   ((ISBLANK(CapexCategory) + (CapexCategory="Other"))&gt;0)  *  (AS$4&gt;=CapexMonth) *(AS$4&lt;=SalOff) * CapexAmount)</f>
        <v>0</v>
      </c>
      <c r="AT35" s="247" cm="1">
        <f t="array" ref="AT35">SUMPRODUCT(   ((ISBLANK(CapexCategory) + (CapexCategory="Other"))&gt;0)  *  (AT$4&gt;=CapexMonth) *(AT$4&lt;=SalOff) * CapexAmount)</f>
        <v>0</v>
      </c>
      <c r="AU35" s="226" cm="1">
        <f t="array" ref="AU35">SUMPRODUCT(   ((ISBLANK(CapexCategory) + (CapexCategory="Other"))&gt;0)  *  (AU$4&gt;=CapexMonth) *(AU$4&lt;=SalOff) * CapexAmount)</f>
        <v>0</v>
      </c>
      <c r="AV35" s="226" cm="1">
        <f t="array" ref="AV35">SUMPRODUCT(   ((ISBLANK(CapexCategory) + (CapexCategory="Other"))&gt;0)  *  (AV$4&gt;=CapexMonth) *(AV$4&lt;=SalOff) * CapexAmount)</f>
        <v>0</v>
      </c>
      <c r="AW35" s="226" cm="1">
        <f t="array" ref="AW35">SUMPRODUCT(   ((ISBLANK(CapexCategory) + (CapexCategory="Other"))&gt;0)  *  (AW$4&gt;=CapexMonth) *(AW$4&lt;=SalOff) * CapexAmount)</f>
        <v>0</v>
      </c>
      <c r="AX35" s="226" cm="1">
        <f t="array" ref="AX35">SUMPRODUCT(   ((ISBLANK(CapexCategory) + (CapexCategory="Other"))&gt;0)  *  (AX$4&gt;=CapexMonth) *(AX$4&lt;=SalOff) * CapexAmount)</f>
        <v>0</v>
      </c>
      <c r="AY35" s="226" cm="1">
        <f t="array" ref="AY35">SUMPRODUCT(   ((ISBLANK(CapexCategory) + (CapexCategory="Other"))&gt;0)  *  (AY$4&gt;=CapexMonth) *(AY$4&lt;=SalOff) * CapexAmount)</f>
        <v>0</v>
      </c>
      <c r="AZ35" s="226" cm="1">
        <f t="array" ref="AZ35">SUMPRODUCT(   ((ISBLANK(CapexCategory) + (CapexCategory="Other"))&gt;0)  *  (AZ$4&gt;=CapexMonth) *(AZ$4&lt;=SalOff) * CapexAmount)</f>
        <v>0</v>
      </c>
      <c r="BA35" s="226" cm="1">
        <f t="array" ref="BA35">SUMPRODUCT(   ((ISBLANK(CapexCategory) + (CapexCategory="Other"))&gt;0)  *  (BA$4&gt;=CapexMonth) *(BA$4&lt;=SalOff) * CapexAmount)</f>
        <v>0</v>
      </c>
      <c r="BB35" s="226" cm="1">
        <f t="array" ref="BB35">SUMPRODUCT(   ((ISBLANK(CapexCategory) + (CapexCategory="Other"))&gt;0)  *  (BB$4&gt;=CapexMonth) *(BB$4&lt;=SalOff) * CapexAmount)</f>
        <v>0</v>
      </c>
      <c r="BC35" s="226" cm="1">
        <f t="array" ref="BC35">SUMPRODUCT(   ((ISBLANK(CapexCategory) + (CapexCategory="Other"))&gt;0)  *  (BC$4&gt;=CapexMonth) *(BC$4&lt;=SalOff) * CapexAmount)</f>
        <v>0</v>
      </c>
      <c r="BD35" s="226" cm="1">
        <f t="array" ref="BD35">SUMPRODUCT(   ((ISBLANK(CapexCategory) + (CapexCategory="Other"))&gt;0)  *  (BD$4&gt;=CapexMonth) *(BD$4&lt;=SalOff) * CapexAmount)</f>
        <v>0</v>
      </c>
      <c r="BE35" s="226" cm="1">
        <f t="array" ref="BE35">SUMPRODUCT(   ((ISBLANK(CapexCategory) + (CapexCategory="Other"))&gt;0)  *  (BE$4&gt;=CapexMonth) *(BE$4&lt;=SalOff) * CapexAmount)</f>
        <v>0</v>
      </c>
      <c r="BF35" s="247" cm="1">
        <f t="array" ref="BF35">SUMPRODUCT(   ((ISBLANK(CapexCategory) + (CapexCategory="Other"))&gt;0)  *  (BF$4&gt;=CapexMonth) *(BF$4&lt;=SalOff) * CapexAmount)</f>
        <v>0</v>
      </c>
      <c r="BG35" s="226" cm="1">
        <f t="array" ref="BG35">SUMPRODUCT(   ((ISBLANK(CapexCategory) + (CapexCategory="Other"))&gt;0)  *  (BG$4&gt;=CapexMonth) *(BG$4&lt;=SalOff) * CapexAmount)</f>
        <v>0</v>
      </c>
      <c r="BH35" s="226" cm="1">
        <f t="array" ref="BH35">SUMPRODUCT(   ((ISBLANK(CapexCategory) + (CapexCategory="Other"))&gt;0)  *  (BH$4&gt;=CapexMonth) *(BH$4&lt;=SalOff) * CapexAmount)</f>
        <v>0</v>
      </c>
      <c r="BI35" s="226" cm="1">
        <f t="array" ref="BI35">SUMPRODUCT(   ((ISBLANK(CapexCategory) + (CapexCategory="Other"))&gt;0)  *  (BI$4&gt;=CapexMonth) *(BI$4&lt;=SalOff) * CapexAmount)</f>
        <v>0</v>
      </c>
      <c r="BJ35" s="226" cm="1">
        <f t="array" ref="BJ35">SUMPRODUCT(   ((ISBLANK(CapexCategory) + (CapexCategory="Other"))&gt;0)  *  (BJ$4&gt;=CapexMonth) *(BJ$4&lt;=SalOff) * CapexAmount)</f>
        <v>0</v>
      </c>
      <c r="BK35" s="226" cm="1">
        <f t="array" ref="BK35">SUMPRODUCT(   ((ISBLANK(CapexCategory) + (CapexCategory="Other"))&gt;0)  *  (BK$4&gt;=CapexMonth) *(BK$4&lt;=SalOff) * CapexAmount)</f>
        <v>0</v>
      </c>
      <c r="BL35" s="226" cm="1">
        <f t="array" ref="BL35">SUMPRODUCT(   ((ISBLANK(CapexCategory) + (CapexCategory="Other"))&gt;0)  *  (BL$4&gt;=CapexMonth) *(BL$4&lt;=SalOff) * CapexAmount)</f>
        <v>0</v>
      </c>
      <c r="BM35" s="226" cm="1">
        <f t="array" ref="BM35">SUMPRODUCT(   ((ISBLANK(CapexCategory) + (CapexCategory="Other"))&gt;0)  *  (BM$4&gt;=CapexMonth) *(BM$4&lt;=SalOff) * CapexAmount)</f>
        <v>0</v>
      </c>
      <c r="BN35" s="226" cm="1">
        <f t="array" ref="BN35">SUMPRODUCT(   ((ISBLANK(CapexCategory) + (CapexCategory="Other"))&gt;0)  *  (BN$4&gt;=CapexMonth) *(BN$4&lt;=SalOff) * CapexAmount)</f>
        <v>0</v>
      </c>
      <c r="BO35" s="226" cm="1">
        <f t="array" ref="BO35">SUMPRODUCT(   ((ISBLANK(CapexCategory) + (CapexCategory="Other"))&gt;0)  *  (BO$4&gt;=CapexMonth) *(BO$4&lt;=SalOff) * CapexAmount)</f>
        <v>0</v>
      </c>
      <c r="BP35" s="226" cm="1">
        <f t="array" ref="BP35">SUMPRODUCT(   ((ISBLANK(CapexCategory) + (CapexCategory="Other"))&gt;0)  *  (BP$4&gt;=CapexMonth) *(BP$4&lt;=SalOff) * CapexAmount)</f>
        <v>0</v>
      </c>
      <c r="BQ35" s="226" cm="1">
        <f t="array" ref="BQ35">SUMPRODUCT(   ((ISBLANK(CapexCategory) + (CapexCategory="Other"))&gt;0)  *  (BQ$4&gt;=CapexMonth) *(BQ$4&lt;=SalOff) * CapexAmount)</f>
        <v>0</v>
      </c>
      <c r="BR35" s="247" cm="1">
        <f t="array" ref="BR35">SUMPRODUCT(   ((ISBLANK(CapexCategory) + (CapexCategory="Other"))&gt;0)  *  (BR$4&gt;=CapexMonth) *(BR$4&lt;=SalOff) * CapexAmount)</f>
        <v>0</v>
      </c>
    </row>
    <row r="36" spans="1:70" s="175" customFormat="1" ht="13.2" x14ac:dyDescent="0.3">
      <c r="A36" s="40"/>
      <c r="B36" s="13"/>
      <c r="C36" s="175" t="s">
        <v>49</v>
      </c>
      <c r="D36" s="199"/>
      <c r="E36" s="222">
        <f t="shared" si="28"/>
        <v>150</v>
      </c>
      <c r="F36" s="222">
        <f t="shared" si="29"/>
        <v>50</v>
      </c>
      <c r="G36" s="222">
        <f t="shared" si="30"/>
        <v>50</v>
      </c>
      <c r="H36" s="222">
        <f t="shared" si="31"/>
        <v>50</v>
      </c>
      <c r="I36" s="222">
        <f t="shared" si="32"/>
        <v>0</v>
      </c>
      <c r="J36" s="264"/>
      <c r="K36" s="223">
        <f t="shared" ref="K36:BR36" si="33">SUM(K30:K35)</f>
        <v>40</v>
      </c>
      <c r="L36" s="223">
        <f t="shared" si="33"/>
        <v>40</v>
      </c>
      <c r="M36" s="223">
        <f t="shared" si="33"/>
        <v>90</v>
      </c>
      <c r="N36" s="223">
        <f t="shared" si="33"/>
        <v>90</v>
      </c>
      <c r="O36" s="223">
        <f t="shared" si="33"/>
        <v>90</v>
      </c>
      <c r="P36" s="223">
        <f t="shared" si="33"/>
        <v>190</v>
      </c>
      <c r="Q36" s="223">
        <f t="shared" si="33"/>
        <v>190</v>
      </c>
      <c r="R36" s="223">
        <f t="shared" si="33"/>
        <v>190</v>
      </c>
      <c r="S36" s="223">
        <f t="shared" si="33"/>
        <v>190</v>
      </c>
      <c r="T36" s="223">
        <f t="shared" si="33"/>
        <v>190</v>
      </c>
      <c r="U36" s="223">
        <f t="shared" si="33"/>
        <v>150</v>
      </c>
      <c r="V36" s="222">
        <f t="shared" si="33"/>
        <v>150</v>
      </c>
      <c r="W36" s="223">
        <f t="shared" si="33"/>
        <v>50</v>
      </c>
      <c r="X36" s="223">
        <f t="shared" si="33"/>
        <v>50</v>
      </c>
      <c r="Y36" s="223">
        <f t="shared" si="33"/>
        <v>50</v>
      </c>
      <c r="Z36" s="223">
        <f t="shared" si="33"/>
        <v>50</v>
      </c>
      <c r="AA36" s="223">
        <f t="shared" si="33"/>
        <v>50</v>
      </c>
      <c r="AB36" s="223">
        <f t="shared" si="33"/>
        <v>50</v>
      </c>
      <c r="AC36" s="223">
        <f t="shared" si="33"/>
        <v>50</v>
      </c>
      <c r="AD36" s="223">
        <f t="shared" si="33"/>
        <v>50</v>
      </c>
      <c r="AE36" s="223">
        <f t="shared" si="33"/>
        <v>50</v>
      </c>
      <c r="AF36" s="223">
        <f t="shared" si="33"/>
        <v>50</v>
      </c>
      <c r="AG36" s="223">
        <f t="shared" si="33"/>
        <v>50</v>
      </c>
      <c r="AH36" s="222">
        <f t="shared" si="33"/>
        <v>50</v>
      </c>
      <c r="AI36" s="223">
        <f t="shared" si="33"/>
        <v>50</v>
      </c>
      <c r="AJ36" s="223">
        <f t="shared" si="33"/>
        <v>50</v>
      </c>
      <c r="AK36" s="223">
        <f t="shared" si="33"/>
        <v>50</v>
      </c>
      <c r="AL36" s="223">
        <f t="shared" si="33"/>
        <v>50</v>
      </c>
      <c r="AM36" s="223">
        <f t="shared" si="33"/>
        <v>50</v>
      </c>
      <c r="AN36" s="223">
        <f t="shared" si="33"/>
        <v>50</v>
      </c>
      <c r="AO36" s="223">
        <f t="shared" si="33"/>
        <v>50</v>
      </c>
      <c r="AP36" s="223">
        <f t="shared" si="33"/>
        <v>50</v>
      </c>
      <c r="AQ36" s="223">
        <f t="shared" si="33"/>
        <v>50</v>
      </c>
      <c r="AR36" s="223">
        <f t="shared" si="33"/>
        <v>50</v>
      </c>
      <c r="AS36" s="223">
        <f t="shared" si="33"/>
        <v>50</v>
      </c>
      <c r="AT36" s="222">
        <f t="shared" si="33"/>
        <v>50</v>
      </c>
      <c r="AU36" s="223">
        <f t="shared" si="33"/>
        <v>50</v>
      </c>
      <c r="AV36" s="223">
        <f t="shared" si="33"/>
        <v>50</v>
      </c>
      <c r="AW36" s="223">
        <f t="shared" si="33"/>
        <v>50</v>
      </c>
      <c r="AX36" s="223">
        <f t="shared" si="33"/>
        <v>50</v>
      </c>
      <c r="AY36" s="223">
        <f t="shared" si="33"/>
        <v>50</v>
      </c>
      <c r="AZ36" s="223">
        <f t="shared" si="33"/>
        <v>50</v>
      </c>
      <c r="BA36" s="223">
        <f t="shared" si="33"/>
        <v>50</v>
      </c>
      <c r="BB36" s="223">
        <f t="shared" si="33"/>
        <v>50</v>
      </c>
      <c r="BC36" s="223">
        <f t="shared" si="33"/>
        <v>50</v>
      </c>
      <c r="BD36" s="223">
        <f t="shared" si="33"/>
        <v>50</v>
      </c>
      <c r="BE36" s="223">
        <f t="shared" si="33"/>
        <v>50</v>
      </c>
      <c r="BF36" s="222">
        <f t="shared" si="33"/>
        <v>50</v>
      </c>
      <c r="BG36" s="223">
        <f t="shared" si="33"/>
        <v>50</v>
      </c>
      <c r="BH36" s="223">
        <f t="shared" si="33"/>
        <v>50</v>
      </c>
      <c r="BI36" s="223">
        <f t="shared" si="33"/>
        <v>50</v>
      </c>
      <c r="BJ36" s="223">
        <f t="shared" si="33"/>
        <v>50</v>
      </c>
      <c r="BK36" s="223">
        <f t="shared" si="33"/>
        <v>50</v>
      </c>
      <c r="BL36" s="223">
        <f t="shared" si="33"/>
        <v>50</v>
      </c>
      <c r="BM36" s="223">
        <f t="shared" si="33"/>
        <v>50</v>
      </c>
      <c r="BN36" s="223">
        <f t="shared" si="33"/>
        <v>50</v>
      </c>
      <c r="BO36" s="223">
        <f t="shared" si="33"/>
        <v>50</v>
      </c>
      <c r="BP36" s="223">
        <f t="shared" si="33"/>
        <v>50</v>
      </c>
      <c r="BQ36" s="223">
        <f t="shared" si="33"/>
        <v>0</v>
      </c>
      <c r="BR36" s="222">
        <f t="shared" si="33"/>
        <v>0</v>
      </c>
    </row>
    <row r="37" spans="1:70" ht="6" customHeight="1" x14ac:dyDescent="0.3">
      <c r="E37" s="248"/>
      <c r="F37" s="248"/>
      <c r="G37" s="248"/>
      <c r="H37" s="248"/>
      <c r="I37" s="248"/>
      <c r="J37" s="264"/>
      <c r="K37" s="248"/>
      <c r="L37" s="248"/>
      <c r="M37" s="248"/>
      <c r="N37" s="248"/>
      <c r="O37" s="248"/>
      <c r="P37" s="248"/>
      <c r="Q37" s="248"/>
      <c r="R37" s="248"/>
      <c r="S37" s="248"/>
      <c r="T37" s="248"/>
      <c r="U37" s="248"/>
      <c r="V37" s="248"/>
      <c r="W37" s="248"/>
      <c r="X37" s="248"/>
      <c r="Y37" s="248"/>
      <c r="Z37" s="248"/>
      <c r="AA37" s="248"/>
      <c r="AB37" s="248"/>
      <c r="AC37" s="248"/>
      <c r="AD37" s="248"/>
      <c r="AE37" s="248"/>
      <c r="AF37" s="248"/>
      <c r="AG37" s="248"/>
      <c r="AH37" s="248"/>
      <c r="AI37" s="248"/>
      <c r="AJ37" s="248"/>
      <c r="AK37" s="248"/>
      <c r="AL37" s="248"/>
      <c r="AM37" s="248"/>
      <c r="AN37" s="248"/>
      <c r="AO37" s="248"/>
      <c r="AP37" s="248"/>
      <c r="AQ37" s="248"/>
      <c r="AR37" s="248"/>
      <c r="AS37" s="248"/>
      <c r="AT37" s="248"/>
      <c r="AU37" s="248"/>
      <c r="AV37" s="248"/>
      <c r="AW37" s="248"/>
      <c r="AX37" s="248"/>
      <c r="AY37" s="248"/>
      <c r="AZ37" s="248"/>
      <c r="BA37" s="248"/>
      <c r="BB37" s="248"/>
      <c r="BC37" s="248"/>
      <c r="BD37" s="248"/>
      <c r="BE37" s="248"/>
      <c r="BF37" s="248"/>
      <c r="BG37" s="248"/>
      <c r="BH37" s="248"/>
      <c r="BI37" s="248"/>
      <c r="BJ37" s="248"/>
      <c r="BK37" s="248"/>
      <c r="BL37" s="248"/>
      <c r="BM37" s="248"/>
      <c r="BN37" s="248"/>
      <c r="BO37" s="248"/>
      <c r="BP37" s="248"/>
      <c r="BQ37" s="248"/>
      <c r="BR37" s="248"/>
    </row>
    <row r="38" spans="1:70" ht="13.2" x14ac:dyDescent="0.3">
      <c r="C38" s="185" t="s">
        <v>219</v>
      </c>
      <c r="D38" s="14"/>
      <c r="E38" s="263">
        <f t="shared" ref="E38:E44" si="34">SUM(K38:V38)</f>
        <v>0</v>
      </c>
      <c r="F38" s="263">
        <f t="shared" ref="F38:F44" si="35">SUM(W38:AH38)</f>
        <v>0</v>
      </c>
      <c r="G38" s="263">
        <f t="shared" ref="G38:G44" si="36">SUM(AI38:AT38)</f>
        <v>0</v>
      </c>
      <c r="H38" s="263">
        <f t="shared" ref="H38:H44" si="37">SUM(AU38:BF38)</f>
        <v>0</v>
      </c>
      <c r="I38" s="263">
        <f t="shared" ref="I38:I44" si="38">SUM(BG38:BR38)</f>
        <v>0</v>
      </c>
      <c r="J38" s="264"/>
      <c r="K38" s="265" cm="1">
        <f t="array" ref="K38">SUMPRODUCT(($C38=CapexCategory)*(K$4=CapexSalvageMonth)*CapexSalvage)</f>
        <v>0</v>
      </c>
      <c r="L38" s="265" cm="1">
        <f t="array" ref="L38">SUMPRODUCT(($C38=CapexCategory)*(L$4=CapexSalvageMonth)*CapexSalvage)</f>
        <v>0</v>
      </c>
      <c r="M38" s="265" cm="1">
        <f t="array" ref="M38">SUMPRODUCT(($C38=CapexCategory)*(M$4=CapexSalvageMonth)*CapexSalvage)</f>
        <v>0</v>
      </c>
      <c r="N38" s="265" cm="1">
        <f t="array" ref="N38">SUMPRODUCT(($C38=CapexCategory)*(N$4=CapexSalvageMonth)*CapexSalvage)</f>
        <v>0</v>
      </c>
      <c r="O38" s="265" cm="1">
        <f t="array" ref="O38">SUMPRODUCT(($C38=CapexCategory)*(O$4=CapexSalvageMonth)*CapexSalvage)</f>
        <v>0</v>
      </c>
      <c r="P38" s="265" cm="1">
        <f t="array" ref="P38">SUMPRODUCT(($C38=CapexCategory)*(P$4=CapexSalvageMonth)*CapexSalvage)</f>
        <v>0</v>
      </c>
      <c r="Q38" s="265" cm="1">
        <f t="array" ref="Q38">SUMPRODUCT(($C38=CapexCategory)*(Q$4=CapexSalvageMonth)*CapexSalvage)</f>
        <v>0</v>
      </c>
      <c r="R38" s="265" cm="1">
        <f t="array" ref="R38">SUMPRODUCT(($C38=CapexCategory)*(R$4=CapexSalvageMonth)*CapexSalvage)</f>
        <v>0</v>
      </c>
      <c r="S38" s="265" cm="1">
        <f t="array" ref="S38">SUMPRODUCT(($C38=CapexCategory)*(S$4=CapexSalvageMonth)*CapexSalvage)</f>
        <v>0</v>
      </c>
      <c r="T38" s="265" cm="1">
        <f t="array" ref="T38">SUMPRODUCT(($C38=CapexCategory)*(T$4=CapexSalvageMonth)*CapexSalvage)</f>
        <v>0</v>
      </c>
      <c r="U38" s="265" cm="1">
        <f t="array" ref="U38">SUMPRODUCT(($C38=CapexCategory)*(U$4=CapexSalvageMonth)*CapexSalvage)</f>
        <v>0</v>
      </c>
      <c r="V38" s="263" cm="1">
        <f t="array" ref="V38">SUMPRODUCT(($C38=CapexCategory)*(V$4=CapexSalvageMonth)*CapexSalvage)</f>
        <v>0</v>
      </c>
      <c r="W38" s="265" cm="1">
        <f t="array" ref="W38">SUMPRODUCT(($C38=CapexCategory)*(W$4=CapexSalvageMonth)*CapexSalvage)</f>
        <v>0</v>
      </c>
      <c r="X38" s="265" cm="1">
        <f t="array" ref="X38">SUMPRODUCT(($C38=CapexCategory)*(X$4=CapexSalvageMonth)*CapexSalvage)</f>
        <v>0</v>
      </c>
      <c r="Y38" s="265" cm="1">
        <f t="array" ref="Y38">SUMPRODUCT(($C38=CapexCategory)*(Y$4=CapexSalvageMonth)*CapexSalvage)</f>
        <v>0</v>
      </c>
      <c r="Z38" s="265" cm="1">
        <f t="array" ref="Z38">SUMPRODUCT(($C38=CapexCategory)*(Z$4=CapexSalvageMonth)*CapexSalvage)</f>
        <v>0</v>
      </c>
      <c r="AA38" s="265" cm="1">
        <f t="array" ref="AA38">SUMPRODUCT(($C38=CapexCategory)*(AA$4=CapexSalvageMonth)*CapexSalvage)</f>
        <v>0</v>
      </c>
      <c r="AB38" s="265" cm="1">
        <f t="array" ref="AB38">SUMPRODUCT(($C38=CapexCategory)*(AB$4=CapexSalvageMonth)*CapexSalvage)</f>
        <v>0</v>
      </c>
      <c r="AC38" s="265" cm="1">
        <f t="array" ref="AC38">SUMPRODUCT(($C38=CapexCategory)*(AC$4=CapexSalvageMonth)*CapexSalvage)</f>
        <v>0</v>
      </c>
      <c r="AD38" s="265" cm="1">
        <f t="array" ref="AD38">SUMPRODUCT(($C38=CapexCategory)*(AD$4=CapexSalvageMonth)*CapexSalvage)</f>
        <v>0</v>
      </c>
      <c r="AE38" s="265" cm="1">
        <f t="array" ref="AE38">SUMPRODUCT(($C38=CapexCategory)*(AE$4=CapexSalvageMonth)*CapexSalvage)</f>
        <v>0</v>
      </c>
      <c r="AF38" s="265" cm="1">
        <f t="array" ref="AF38">SUMPRODUCT(($C38=CapexCategory)*(AF$4=CapexSalvageMonth)*CapexSalvage)</f>
        <v>0</v>
      </c>
      <c r="AG38" s="265" cm="1">
        <f t="array" ref="AG38">SUMPRODUCT(($C38=CapexCategory)*(AG$4=CapexSalvageMonth)*CapexSalvage)</f>
        <v>0</v>
      </c>
      <c r="AH38" s="263" cm="1">
        <f t="array" ref="AH38">SUMPRODUCT(($C38=CapexCategory)*(AH$4=CapexSalvageMonth)*CapexSalvage)</f>
        <v>0</v>
      </c>
      <c r="AI38" s="265" cm="1">
        <f t="array" ref="AI38">SUMPRODUCT(($C38=CapexCategory)*(AI$4=CapexSalvageMonth)*CapexSalvage)</f>
        <v>0</v>
      </c>
      <c r="AJ38" s="265" cm="1">
        <f t="array" ref="AJ38">SUMPRODUCT(($C38=CapexCategory)*(AJ$4=CapexSalvageMonth)*CapexSalvage)</f>
        <v>0</v>
      </c>
      <c r="AK38" s="265" cm="1">
        <f t="array" ref="AK38">SUMPRODUCT(($C38=CapexCategory)*(AK$4=CapexSalvageMonth)*CapexSalvage)</f>
        <v>0</v>
      </c>
      <c r="AL38" s="265" cm="1">
        <f t="array" ref="AL38">SUMPRODUCT(($C38=CapexCategory)*(AL$4=CapexSalvageMonth)*CapexSalvage)</f>
        <v>0</v>
      </c>
      <c r="AM38" s="265" cm="1">
        <f t="array" ref="AM38">SUMPRODUCT(($C38=CapexCategory)*(AM$4=CapexSalvageMonth)*CapexSalvage)</f>
        <v>0</v>
      </c>
      <c r="AN38" s="265" cm="1">
        <f t="array" ref="AN38">SUMPRODUCT(($C38=CapexCategory)*(AN$4=CapexSalvageMonth)*CapexSalvage)</f>
        <v>0</v>
      </c>
      <c r="AO38" s="265" cm="1">
        <f t="array" ref="AO38">SUMPRODUCT(($C38=CapexCategory)*(AO$4=CapexSalvageMonth)*CapexSalvage)</f>
        <v>0</v>
      </c>
      <c r="AP38" s="265" cm="1">
        <f t="array" ref="AP38">SUMPRODUCT(($C38=CapexCategory)*(AP$4=CapexSalvageMonth)*CapexSalvage)</f>
        <v>0</v>
      </c>
      <c r="AQ38" s="265" cm="1">
        <f t="array" ref="AQ38">SUMPRODUCT(($C38=CapexCategory)*(AQ$4=CapexSalvageMonth)*CapexSalvage)</f>
        <v>0</v>
      </c>
      <c r="AR38" s="265" cm="1">
        <f t="array" ref="AR38">SUMPRODUCT(($C38=CapexCategory)*(AR$4=CapexSalvageMonth)*CapexSalvage)</f>
        <v>0</v>
      </c>
      <c r="AS38" s="265" cm="1">
        <f t="array" ref="AS38">SUMPRODUCT(($C38=CapexCategory)*(AS$4=CapexSalvageMonth)*CapexSalvage)</f>
        <v>0</v>
      </c>
      <c r="AT38" s="263" cm="1">
        <f t="array" ref="AT38">SUMPRODUCT(($C38=CapexCategory)*(AT$4=CapexSalvageMonth)*CapexSalvage)</f>
        <v>0</v>
      </c>
      <c r="AU38" s="265" cm="1">
        <f t="array" ref="AU38">SUMPRODUCT(($C38=CapexCategory)*(AU$4=CapexSalvageMonth)*CapexSalvage)</f>
        <v>0</v>
      </c>
      <c r="AV38" s="265" cm="1">
        <f t="array" ref="AV38">SUMPRODUCT(($C38=CapexCategory)*(AV$4=CapexSalvageMonth)*CapexSalvage)</f>
        <v>0</v>
      </c>
      <c r="AW38" s="265" cm="1">
        <f t="array" ref="AW38">SUMPRODUCT(($C38=CapexCategory)*(AW$4=CapexSalvageMonth)*CapexSalvage)</f>
        <v>0</v>
      </c>
      <c r="AX38" s="265" cm="1">
        <f t="array" ref="AX38">SUMPRODUCT(($C38=CapexCategory)*(AX$4=CapexSalvageMonth)*CapexSalvage)</f>
        <v>0</v>
      </c>
      <c r="AY38" s="265" cm="1">
        <f t="array" ref="AY38">SUMPRODUCT(($C38=CapexCategory)*(AY$4=CapexSalvageMonth)*CapexSalvage)</f>
        <v>0</v>
      </c>
      <c r="AZ38" s="265" cm="1">
        <f t="array" ref="AZ38">SUMPRODUCT(($C38=CapexCategory)*(AZ$4=CapexSalvageMonth)*CapexSalvage)</f>
        <v>0</v>
      </c>
      <c r="BA38" s="265" cm="1">
        <f t="array" ref="BA38">SUMPRODUCT(($C38=CapexCategory)*(BA$4=CapexSalvageMonth)*CapexSalvage)</f>
        <v>0</v>
      </c>
      <c r="BB38" s="265" cm="1">
        <f t="array" ref="BB38">SUMPRODUCT(($C38=CapexCategory)*(BB$4=CapexSalvageMonth)*CapexSalvage)</f>
        <v>0</v>
      </c>
      <c r="BC38" s="265" cm="1">
        <f t="array" ref="BC38">SUMPRODUCT(($C38=CapexCategory)*(BC$4=CapexSalvageMonth)*CapexSalvage)</f>
        <v>0</v>
      </c>
      <c r="BD38" s="265" cm="1">
        <f t="array" ref="BD38">SUMPRODUCT(($C38=CapexCategory)*(BD$4=CapexSalvageMonth)*CapexSalvage)</f>
        <v>0</v>
      </c>
      <c r="BE38" s="265" cm="1">
        <f t="array" ref="BE38">SUMPRODUCT(($C38=CapexCategory)*(BE$4=CapexSalvageMonth)*CapexSalvage)</f>
        <v>0</v>
      </c>
      <c r="BF38" s="263" cm="1">
        <f t="array" ref="BF38">SUMPRODUCT(($C38=CapexCategory)*(BF$4=CapexSalvageMonth)*CapexSalvage)</f>
        <v>0</v>
      </c>
      <c r="BG38" s="265" cm="1">
        <f t="array" ref="BG38">SUMPRODUCT(($C38=CapexCategory)*(BG$4=CapexSalvageMonth)*CapexSalvage)</f>
        <v>0</v>
      </c>
      <c r="BH38" s="265" cm="1">
        <f t="array" ref="BH38">SUMPRODUCT(($C38=CapexCategory)*(BH$4=CapexSalvageMonth)*CapexSalvage)</f>
        <v>0</v>
      </c>
      <c r="BI38" s="265" cm="1">
        <f t="array" ref="BI38">SUMPRODUCT(($C38=CapexCategory)*(BI$4=CapexSalvageMonth)*CapexSalvage)</f>
        <v>0</v>
      </c>
      <c r="BJ38" s="265" cm="1">
        <f t="array" ref="BJ38">SUMPRODUCT(($C38=CapexCategory)*(BJ$4=CapexSalvageMonth)*CapexSalvage)</f>
        <v>0</v>
      </c>
      <c r="BK38" s="265" cm="1">
        <f t="array" ref="BK38">SUMPRODUCT(($C38=CapexCategory)*(BK$4=CapexSalvageMonth)*CapexSalvage)</f>
        <v>0</v>
      </c>
      <c r="BL38" s="265" cm="1">
        <f t="array" ref="BL38">SUMPRODUCT(($C38=CapexCategory)*(BL$4=CapexSalvageMonth)*CapexSalvage)</f>
        <v>0</v>
      </c>
      <c r="BM38" s="265" cm="1">
        <f t="array" ref="BM38">SUMPRODUCT(($C38=CapexCategory)*(BM$4=CapexSalvageMonth)*CapexSalvage)</f>
        <v>0</v>
      </c>
      <c r="BN38" s="265" cm="1">
        <f t="array" ref="BN38">SUMPRODUCT(($C38=CapexCategory)*(BN$4=CapexSalvageMonth)*CapexSalvage)</f>
        <v>0</v>
      </c>
      <c r="BO38" s="265" cm="1">
        <f t="array" ref="BO38">SUMPRODUCT(($C38=CapexCategory)*(BO$4=CapexSalvageMonth)*CapexSalvage)</f>
        <v>0</v>
      </c>
      <c r="BP38" s="265" cm="1">
        <f t="array" ref="BP38">SUMPRODUCT(($C38=CapexCategory)*(BP$4=CapexSalvageMonth)*CapexSalvage)</f>
        <v>0</v>
      </c>
      <c r="BQ38" s="265" cm="1">
        <f t="array" ref="BQ38">SUMPRODUCT(($C38=CapexCategory)*(BQ$4=CapexSalvageMonth)*CapexSalvage)</f>
        <v>0</v>
      </c>
      <c r="BR38" s="263" cm="1">
        <f t="array" ref="BR38">SUMPRODUCT(($C38=CapexCategory)*(BR$4=CapexSalvageMonth)*CapexSalvage)</f>
        <v>0</v>
      </c>
    </row>
    <row r="39" spans="1:70" ht="13.2" x14ac:dyDescent="0.3">
      <c r="C39" s="185" t="s">
        <v>220</v>
      </c>
      <c r="D39" s="14"/>
      <c r="E39" s="263">
        <f t="shared" si="34"/>
        <v>0</v>
      </c>
      <c r="F39" s="263">
        <f t="shared" si="35"/>
        <v>0</v>
      </c>
      <c r="G39" s="263">
        <f t="shared" si="36"/>
        <v>0</v>
      </c>
      <c r="H39" s="263">
        <f t="shared" si="37"/>
        <v>0</v>
      </c>
      <c r="I39" s="263">
        <f t="shared" si="38"/>
        <v>15</v>
      </c>
      <c r="J39" s="264"/>
      <c r="K39" s="265" cm="1">
        <f t="array" ref="K39">SUMPRODUCT(($C39=CapexCategory)*(K$4=CapexSalvageMonth)*CapexSalvage)</f>
        <v>0</v>
      </c>
      <c r="L39" s="265" cm="1">
        <f t="array" ref="L39">SUMPRODUCT(($C39=CapexCategory)*(L$4=CapexSalvageMonth)*CapexSalvage)</f>
        <v>0</v>
      </c>
      <c r="M39" s="265" cm="1">
        <f t="array" ref="M39">SUMPRODUCT(($C39=CapexCategory)*(M$4=CapexSalvageMonth)*CapexSalvage)</f>
        <v>0</v>
      </c>
      <c r="N39" s="265" cm="1">
        <f t="array" ref="N39">SUMPRODUCT(($C39=CapexCategory)*(N$4=CapexSalvageMonth)*CapexSalvage)</f>
        <v>0</v>
      </c>
      <c r="O39" s="265" cm="1">
        <f t="array" ref="O39">SUMPRODUCT(($C39=CapexCategory)*(O$4=CapexSalvageMonth)*CapexSalvage)</f>
        <v>0</v>
      </c>
      <c r="P39" s="265" cm="1">
        <f t="array" ref="P39">SUMPRODUCT(($C39=CapexCategory)*(P$4=CapexSalvageMonth)*CapexSalvage)</f>
        <v>0</v>
      </c>
      <c r="Q39" s="265" cm="1">
        <f t="array" ref="Q39">SUMPRODUCT(($C39=CapexCategory)*(Q$4=CapexSalvageMonth)*CapexSalvage)</f>
        <v>0</v>
      </c>
      <c r="R39" s="265" cm="1">
        <f t="array" ref="R39">SUMPRODUCT(($C39=CapexCategory)*(R$4=CapexSalvageMonth)*CapexSalvage)</f>
        <v>0</v>
      </c>
      <c r="S39" s="265" cm="1">
        <f t="array" ref="S39">SUMPRODUCT(($C39=CapexCategory)*(S$4=CapexSalvageMonth)*CapexSalvage)</f>
        <v>0</v>
      </c>
      <c r="T39" s="265" cm="1">
        <f t="array" ref="T39">SUMPRODUCT(($C39=CapexCategory)*(T$4=CapexSalvageMonth)*CapexSalvage)</f>
        <v>0</v>
      </c>
      <c r="U39" s="265" cm="1">
        <f t="array" ref="U39">SUMPRODUCT(($C39=CapexCategory)*(U$4=CapexSalvageMonth)*CapexSalvage)</f>
        <v>0</v>
      </c>
      <c r="V39" s="263" cm="1">
        <f t="array" ref="V39">SUMPRODUCT(($C39=CapexCategory)*(V$4=CapexSalvageMonth)*CapexSalvage)</f>
        <v>0</v>
      </c>
      <c r="W39" s="265" cm="1">
        <f t="array" ref="W39">SUMPRODUCT(($C39=CapexCategory)*(W$4=CapexSalvageMonth)*CapexSalvage)</f>
        <v>0</v>
      </c>
      <c r="X39" s="265" cm="1">
        <f t="array" ref="X39">SUMPRODUCT(($C39=CapexCategory)*(X$4=CapexSalvageMonth)*CapexSalvage)</f>
        <v>0</v>
      </c>
      <c r="Y39" s="265" cm="1">
        <f t="array" ref="Y39">SUMPRODUCT(($C39=CapexCategory)*(Y$4=CapexSalvageMonth)*CapexSalvage)</f>
        <v>0</v>
      </c>
      <c r="Z39" s="265" cm="1">
        <f t="array" ref="Z39">SUMPRODUCT(($C39=CapexCategory)*(Z$4=CapexSalvageMonth)*CapexSalvage)</f>
        <v>0</v>
      </c>
      <c r="AA39" s="265" cm="1">
        <f t="array" ref="AA39">SUMPRODUCT(($C39=CapexCategory)*(AA$4=CapexSalvageMonth)*CapexSalvage)</f>
        <v>0</v>
      </c>
      <c r="AB39" s="265" cm="1">
        <f t="array" ref="AB39">SUMPRODUCT(($C39=CapexCategory)*(AB$4=CapexSalvageMonth)*CapexSalvage)</f>
        <v>0</v>
      </c>
      <c r="AC39" s="265" cm="1">
        <f t="array" ref="AC39">SUMPRODUCT(($C39=CapexCategory)*(AC$4=CapexSalvageMonth)*CapexSalvage)</f>
        <v>0</v>
      </c>
      <c r="AD39" s="265" cm="1">
        <f t="array" ref="AD39">SUMPRODUCT(($C39=CapexCategory)*(AD$4=CapexSalvageMonth)*CapexSalvage)</f>
        <v>0</v>
      </c>
      <c r="AE39" s="265" cm="1">
        <f t="array" ref="AE39">SUMPRODUCT(($C39=CapexCategory)*(AE$4=CapexSalvageMonth)*CapexSalvage)</f>
        <v>0</v>
      </c>
      <c r="AF39" s="265" cm="1">
        <f t="array" ref="AF39">SUMPRODUCT(($C39=CapexCategory)*(AF$4=CapexSalvageMonth)*CapexSalvage)</f>
        <v>0</v>
      </c>
      <c r="AG39" s="265" cm="1">
        <f t="array" ref="AG39">SUMPRODUCT(($C39=CapexCategory)*(AG$4=CapexSalvageMonth)*CapexSalvage)</f>
        <v>0</v>
      </c>
      <c r="AH39" s="263" cm="1">
        <f t="array" ref="AH39">SUMPRODUCT(($C39=CapexCategory)*(AH$4=CapexSalvageMonth)*CapexSalvage)</f>
        <v>0</v>
      </c>
      <c r="AI39" s="265" cm="1">
        <f t="array" ref="AI39">SUMPRODUCT(($C39=CapexCategory)*(AI$4=CapexSalvageMonth)*CapexSalvage)</f>
        <v>0</v>
      </c>
      <c r="AJ39" s="265" cm="1">
        <f t="array" ref="AJ39">SUMPRODUCT(($C39=CapexCategory)*(AJ$4=CapexSalvageMonth)*CapexSalvage)</f>
        <v>0</v>
      </c>
      <c r="AK39" s="265" cm="1">
        <f t="array" ref="AK39">SUMPRODUCT(($C39=CapexCategory)*(AK$4=CapexSalvageMonth)*CapexSalvage)</f>
        <v>0</v>
      </c>
      <c r="AL39" s="265" cm="1">
        <f t="array" ref="AL39">SUMPRODUCT(($C39=CapexCategory)*(AL$4=CapexSalvageMonth)*CapexSalvage)</f>
        <v>0</v>
      </c>
      <c r="AM39" s="265" cm="1">
        <f t="array" ref="AM39">SUMPRODUCT(($C39=CapexCategory)*(AM$4=CapexSalvageMonth)*CapexSalvage)</f>
        <v>0</v>
      </c>
      <c r="AN39" s="265" cm="1">
        <f t="array" ref="AN39">SUMPRODUCT(($C39=CapexCategory)*(AN$4=CapexSalvageMonth)*CapexSalvage)</f>
        <v>0</v>
      </c>
      <c r="AO39" s="265" cm="1">
        <f t="array" ref="AO39">SUMPRODUCT(($C39=CapexCategory)*(AO$4=CapexSalvageMonth)*CapexSalvage)</f>
        <v>0</v>
      </c>
      <c r="AP39" s="265" cm="1">
        <f t="array" ref="AP39">SUMPRODUCT(($C39=CapexCategory)*(AP$4=CapexSalvageMonth)*CapexSalvage)</f>
        <v>0</v>
      </c>
      <c r="AQ39" s="265" cm="1">
        <f t="array" ref="AQ39">SUMPRODUCT(($C39=CapexCategory)*(AQ$4=CapexSalvageMonth)*CapexSalvage)</f>
        <v>0</v>
      </c>
      <c r="AR39" s="265" cm="1">
        <f t="array" ref="AR39">SUMPRODUCT(($C39=CapexCategory)*(AR$4=CapexSalvageMonth)*CapexSalvage)</f>
        <v>0</v>
      </c>
      <c r="AS39" s="265" cm="1">
        <f t="array" ref="AS39">SUMPRODUCT(($C39=CapexCategory)*(AS$4=CapexSalvageMonth)*CapexSalvage)</f>
        <v>0</v>
      </c>
      <c r="AT39" s="263" cm="1">
        <f t="array" ref="AT39">SUMPRODUCT(($C39=CapexCategory)*(AT$4=CapexSalvageMonth)*CapexSalvage)</f>
        <v>0</v>
      </c>
      <c r="AU39" s="265" cm="1">
        <f t="array" ref="AU39">SUMPRODUCT(($C39=CapexCategory)*(AU$4=CapexSalvageMonth)*CapexSalvage)</f>
        <v>0</v>
      </c>
      <c r="AV39" s="265" cm="1">
        <f t="array" ref="AV39">SUMPRODUCT(($C39=CapexCategory)*(AV$4=CapexSalvageMonth)*CapexSalvage)</f>
        <v>0</v>
      </c>
      <c r="AW39" s="265" cm="1">
        <f t="array" ref="AW39">SUMPRODUCT(($C39=CapexCategory)*(AW$4=CapexSalvageMonth)*CapexSalvage)</f>
        <v>0</v>
      </c>
      <c r="AX39" s="265" cm="1">
        <f t="array" ref="AX39">SUMPRODUCT(($C39=CapexCategory)*(AX$4=CapexSalvageMonth)*CapexSalvage)</f>
        <v>0</v>
      </c>
      <c r="AY39" s="265" cm="1">
        <f t="array" ref="AY39">SUMPRODUCT(($C39=CapexCategory)*(AY$4=CapexSalvageMonth)*CapexSalvage)</f>
        <v>0</v>
      </c>
      <c r="AZ39" s="265" cm="1">
        <f t="array" ref="AZ39">SUMPRODUCT(($C39=CapexCategory)*(AZ$4=CapexSalvageMonth)*CapexSalvage)</f>
        <v>0</v>
      </c>
      <c r="BA39" s="265" cm="1">
        <f t="array" ref="BA39">SUMPRODUCT(($C39=CapexCategory)*(BA$4=CapexSalvageMonth)*CapexSalvage)</f>
        <v>0</v>
      </c>
      <c r="BB39" s="265" cm="1">
        <f t="array" ref="BB39">SUMPRODUCT(($C39=CapexCategory)*(BB$4=CapexSalvageMonth)*CapexSalvage)</f>
        <v>0</v>
      </c>
      <c r="BC39" s="265" cm="1">
        <f t="array" ref="BC39">SUMPRODUCT(($C39=CapexCategory)*(BC$4=CapexSalvageMonth)*CapexSalvage)</f>
        <v>0</v>
      </c>
      <c r="BD39" s="265" cm="1">
        <f t="array" ref="BD39">SUMPRODUCT(($C39=CapexCategory)*(BD$4=CapexSalvageMonth)*CapexSalvage)</f>
        <v>0</v>
      </c>
      <c r="BE39" s="265" cm="1">
        <f t="array" ref="BE39">SUMPRODUCT(($C39=CapexCategory)*(BE$4=CapexSalvageMonth)*CapexSalvage)</f>
        <v>0</v>
      </c>
      <c r="BF39" s="263" cm="1">
        <f t="array" ref="BF39">SUMPRODUCT(($C39=CapexCategory)*(BF$4=CapexSalvageMonth)*CapexSalvage)</f>
        <v>0</v>
      </c>
      <c r="BG39" s="265" cm="1">
        <f t="array" ref="BG39">SUMPRODUCT(($C39=CapexCategory)*(BG$4=CapexSalvageMonth)*CapexSalvage)</f>
        <v>0</v>
      </c>
      <c r="BH39" s="265" cm="1">
        <f t="array" ref="BH39">SUMPRODUCT(($C39=CapexCategory)*(BH$4=CapexSalvageMonth)*CapexSalvage)</f>
        <v>0</v>
      </c>
      <c r="BI39" s="265" cm="1">
        <f t="array" ref="BI39">SUMPRODUCT(($C39=CapexCategory)*(BI$4=CapexSalvageMonth)*CapexSalvage)</f>
        <v>0</v>
      </c>
      <c r="BJ39" s="265" cm="1">
        <f t="array" ref="BJ39">SUMPRODUCT(($C39=CapexCategory)*(BJ$4=CapexSalvageMonth)*CapexSalvage)</f>
        <v>0</v>
      </c>
      <c r="BK39" s="265" cm="1">
        <f t="array" ref="BK39">SUMPRODUCT(($C39=CapexCategory)*(BK$4=CapexSalvageMonth)*CapexSalvage)</f>
        <v>0</v>
      </c>
      <c r="BL39" s="265" cm="1">
        <f t="array" ref="BL39">SUMPRODUCT(($C39=CapexCategory)*(BL$4=CapexSalvageMonth)*CapexSalvage)</f>
        <v>0</v>
      </c>
      <c r="BM39" s="265" cm="1">
        <f t="array" ref="BM39">SUMPRODUCT(($C39=CapexCategory)*(BM$4=CapexSalvageMonth)*CapexSalvage)</f>
        <v>15</v>
      </c>
      <c r="BN39" s="265" cm="1">
        <f t="array" ref="BN39">SUMPRODUCT(($C39=CapexCategory)*(BN$4=CapexSalvageMonth)*CapexSalvage)</f>
        <v>0</v>
      </c>
      <c r="BO39" s="265" cm="1">
        <f t="array" ref="BO39">SUMPRODUCT(($C39=CapexCategory)*(BO$4=CapexSalvageMonth)*CapexSalvage)</f>
        <v>0</v>
      </c>
      <c r="BP39" s="265" cm="1">
        <f t="array" ref="BP39">SUMPRODUCT(($C39=CapexCategory)*(BP$4=CapexSalvageMonth)*CapexSalvage)</f>
        <v>0</v>
      </c>
      <c r="BQ39" s="265" cm="1">
        <f t="array" ref="BQ39">SUMPRODUCT(($C39=CapexCategory)*(BQ$4=CapexSalvageMonth)*CapexSalvage)</f>
        <v>0</v>
      </c>
      <c r="BR39" s="263" cm="1">
        <f t="array" ref="BR39">SUMPRODUCT(($C39=CapexCategory)*(BR$4=CapexSalvageMonth)*CapexSalvage)</f>
        <v>0</v>
      </c>
    </row>
    <row r="40" spans="1:70" ht="13.2" x14ac:dyDescent="0.3">
      <c r="C40" s="185" t="s">
        <v>221</v>
      </c>
      <c r="D40" s="14"/>
      <c r="E40" s="263">
        <f t="shared" si="34"/>
        <v>0</v>
      </c>
      <c r="F40" s="263">
        <f t="shared" si="35"/>
        <v>0</v>
      </c>
      <c r="G40" s="263">
        <f t="shared" si="36"/>
        <v>0</v>
      </c>
      <c r="H40" s="263">
        <f t="shared" si="37"/>
        <v>0</v>
      </c>
      <c r="I40" s="263">
        <f t="shared" si="38"/>
        <v>0</v>
      </c>
      <c r="J40" s="264"/>
      <c r="K40" s="265" cm="1">
        <f t="array" ref="K40">SUMPRODUCT(($C40=CapexCategory)*(K$4=CapexSalvageMonth)*CapexSalvage)</f>
        <v>0</v>
      </c>
      <c r="L40" s="265" cm="1">
        <f t="array" ref="L40">SUMPRODUCT(($C40=CapexCategory)*(L$4=CapexSalvageMonth)*CapexSalvage)</f>
        <v>0</v>
      </c>
      <c r="M40" s="265" cm="1">
        <f t="array" ref="M40">SUMPRODUCT(($C40=CapexCategory)*(M$4=CapexSalvageMonth)*CapexSalvage)</f>
        <v>0</v>
      </c>
      <c r="N40" s="265" cm="1">
        <f t="array" ref="N40">SUMPRODUCT(($C40=CapexCategory)*(N$4=CapexSalvageMonth)*CapexSalvage)</f>
        <v>0</v>
      </c>
      <c r="O40" s="265" cm="1">
        <f t="array" ref="O40">SUMPRODUCT(($C40=CapexCategory)*(O$4=CapexSalvageMonth)*CapexSalvage)</f>
        <v>0</v>
      </c>
      <c r="P40" s="265" cm="1">
        <f t="array" ref="P40">SUMPRODUCT(($C40=CapexCategory)*(P$4=CapexSalvageMonth)*CapexSalvage)</f>
        <v>0</v>
      </c>
      <c r="Q40" s="265" cm="1">
        <f t="array" ref="Q40">SUMPRODUCT(($C40=CapexCategory)*(Q$4=CapexSalvageMonth)*CapexSalvage)</f>
        <v>0</v>
      </c>
      <c r="R40" s="265" cm="1">
        <f t="array" ref="R40">SUMPRODUCT(($C40=CapexCategory)*(R$4=CapexSalvageMonth)*CapexSalvage)</f>
        <v>0</v>
      </c>
      <c r="S40" s="265" cm="1">
        <f t="array" ref="S40">SUMPRODUCT(($C40=CapexCategory)*(S$4=CapexSalvageMonth)*CapexSalvage)</f>
        <v>0</v>
      </c>
      <c r="T40" s="265" cm="1">
        <f t="array" ref="T40">SUMPRODUCT(($C40=CapexCategory)*(T$4=CapexSalvageMonth)*CapexSalvage)</f>
        <v>0</v>
      </c>
      <c r="U40" s="265" cm="1">
        <f t="array" ref="U40">SUMPRODUCT(($C40=CapexCategory)*(U$4=CapexSalvageMonth)*CapexSalvage)</f>
        <v>0</v>
      </c>
      <c r="V40" s="263" cm="1">
        <f t="array" ref="V40">SUMPRODUCT(($C40=CapexCategory)*(V$4=CapexSalvageMonth)*CapexSalvage)</f>
        <v>0</v>
      </c>
      <c r="W40" s="265" cm="1">
        <f t="array" ref="W40">SUMPRODUCT(($C40=CapexCategory)*(W$4=CapexSalvageMonth)*CapexSalvage)</f>
        <v>0</v>
      </c>
      <c r="X40" s="265" cm="1">
        <f t="array" ref="X40">SUMPRODUCT(($C40=CapexCategory)*(X$4=CapexSalvageMonth)*CapexSalvage)</f>
        <v>0</v>
      </c>
      <c r="Y40" s="265" cm="1">
        <f t="array" ref="Y40">SUMPRODUCT(($C40=CapexCategory)*(Y$4=CapexSalvageMonth)*CapexSalvage)</f>
        <v>0</v>
      </c>
      <c r="Z40" s="265" cm="1">
        <f t="array" ref="Z40">SUMPRODUCT(($C40=CapexCategory)*(Z$4=CapexSalvageMonth)*CapexSalvage)</f>
        <v>0</v>
      </c>
      <c r="AA40" s="265" cm="1">
        <f t="array" ref="AA40">SUMPRODUCT(($C40=CapexCategory)*(AA$4=CapexSalvageMonth)*CapexSalvage)</f>
        <v>0</v>
      </c>
      <c r="AB40" s="265" cm="1">
        <f t="array" ref="AB40">SUMPRODUCT(($C40=CapexCategory)*(AB$4=CapexSalvageMonth)*CapexSalvage)</f>
        <v>0</v>
      </c>
      <c r="AC40" s="265" cm="1">
        <f t="array" ref="AC40">SUMPRODUCT(($C40=CapexCategory)*(AC$4=CapexSalvageMonth)*CapexSalvage)</f>
        <v>0</v>
      </c>
      <c r="AD40" s="265" cm="1">
        <f t="array" ref="AD40">SUMPRODUCT(($C40=CapexCategory)*(AD$4=CapexSalvageMonth)*CapexSalvage)</f>
        <v>0</v>
      </c>
      <c r="AE40" s="265" cm="1">
        <f t="array" ref="AE40">SUMPRODUCT(($C40=CapexCategory)*(AE$4=CapexSalvageMonth)*CapexSalvage)</f>
        <v>0</v>
      </c>
      <c r="AF40" s="265" cm="1">
        <f t="array" ref="AF40">SUMPRODUCT(($C40=CapexCategory)*(AF$4=CapexSalvageMonth)*CapexSalvage)</f>
        <v>0</v>
      </c>
      <c r="AG40" s="265" cm="1">
        <f t="array" ref="AG40">SUMPRODUCT(($C40=CapexCategory)*(AG$4=CapexSalvageMonth)*CapexSalvage)</f>
        <v>0</v>
      </c>
      <c r="AH40" s="263" cm="1">
        <f t="array" ref="AH40">SUMPRODUCT(($C40=CapexCategory)*(AH$4=CapexSalvageMonth)*CapexSalvage)</f>
        <v>0</v>
      </c>
      <c r="AI40" s="265" cm="1">
        <f t="array" ref="AI40">SUMPRODUCT(($C40=CapexCategory)*(AI$4=CapexSalvageMonth)*CapexSalvage)</f>
        <v>0</v>
      </c>
      <c r="AJ40" s="265" cm="1">
        <f t="array" ref="AJ40">SUMPRODUCT(($C40=CapexCategory)*(AJ$4=CapexSalvageMonth)*CapexSalvage)</f>
        <v>0</v>
      </c>
      <c r="AK40" s="265" cm="1">
        <f t="array" ref="AK40">SUMPRODUCT(($C40=CapexCategory)*(AK$4=CapexSalvageMonth)*CapexSalvage)</f>
        <v>0</v>
      </c>
      <c r="AL40" s="265" cm="1">
        <f t="array" ref="AL40">SUMPRODUCT(($C40=CapexCategory)*(AL$4=CapexSalvageMonth)*CapexSalvage)</f>
        <v>0</v>
      </c>
      <c r="AM40" s="265" cm="1">
        <f t="array" ref="AM40">SUMPRODUCT(($C40=CapexCategory)*(AM$4=CapexSalvageMonth)*CapexSalvage)</f>
        <v>0</v>
      </c>
      <c r="AN40" s="265" cm="1">
        <f t="array" ref="AN40">SUMPRODUCT(($C40=CapexCategory)*(AN$4=CapexSalvageMonth)*CapexSalvage)</f>
        <v>0</v>
      </c>
      <c r="AO40" s="265" cm="1">
        <f t="array" ref="AO40">SUMPRODUCT(($C40=CapexCategory)*(AO$4=CapexSalvageMonth)*CapexSalvage)</f>
        <v>0</v>
      </c>
      <c r="AP40" s="265" cm="1">
        <f t="array" ref="AP40">SUMPRODUCT(($C40=CapexCategory)*(AP$4=CapexSalvageMonth)*CapexSalvage)</f>
        <v>0</v>
      </c>
      <c r="AQ40" s="265" cm="1">
        <f t="array" ref="AQ40">SUMPRODUCT(($C40=CapexCategory)*(AQ$4=CapexSalvageMonth)*CapexSalvage)</f>
        <v>0</v>
      </c>
      <c r="AR40" s="265" cm="1">
        <f t="array" ref="AR40">SUMPRODUCT(($C40=CapexCategory)*(AR$4=CapexSalvageMonth)*CapexSalvage)</f>
        <v>0</v>
      </c>
      <c r="AS40" s="265" cm="1">
        <f t="array" ref="AS40">SUMPRODUCT(($C40=CapexCategory)*(AS$4=CapexSalvageMonth)*CapexSalvage)</f>
        <v>0</v>
      </c>
      <c r="AT40" s="263" cm="1">
        <f t="array" ref="AT40">SUMPRODUCT(($C40=CapexCategory)*(AT$4=CapexSalvageMonth)*CapexSalvage)</f>
        <v>0</v>
      </c>
      <c r="AU40" s="265" cm="1">
        <f t="array" ref="AU40">SUMPRODUCT(($C40=CapexCategory)*(AU$4=CapexSalvageMonth)*CapexSalvage)</f>
        <v>0</v>
      </c>
      <c r="AV40" s="265" cm="1">
        <f t="array" ref="AV40">SUMPRODUCT(($C40=CapexCategory)*(AV$4=CapexSalvageMonth)*CapexSalvage)</f>
        <v>0</v>
      </c>
      <c r="AW40" s="265" cm="1">
        <f t="array" ref="AW40">SUMPRODUCT(($C40=CapexCategory)*(AW$4=CapexSalvageMonth)*CapexSalvage)</f>
        <v>0</v>
      </c>
      <c r="AX40" s="265" cm="1">
        <f t="array" ref="AX40">SUMPRODUCT(($C40=CapexCategory)*(AX$4=CapexSalvageMonth)*CapexSalvage)</f>
        <v>0</v>
      </c>
      <c r="AY40" s="265" cm="1">
        <f t="array" ref="AY40">SUMPRODUCT(($C40=CapexCategory)*(AY$4=CapexSalvageMonth)*CapexSalvage)</f>
        <v>0</v>
      </c>
      <c r="AZ40" s="265" cm="1">
        <f t="array" ref="AZ40">SUMPRODUCT(($C40=CapexCategory)*(AZ$4=CapexSalvageMonth)*CapexSalvage)</f>
        <v>0</v>
      </c>
      <c r="BA40" s="265" cm="1">
        <f t="array" ref="BA40">SUMPRODUCT(($C40=CapexCategory)*(BA$4=CapexSalvageMonth)*CapexSalvage)</f>
        <v>0</v>
      </c>
      <c r="BB40" s="265" cm="1">
        <f t="array" ref="BB40">SUMPRODUCT(($C40=CapexCategory)*(BB$4=CapexSalvageMonth)*CapexSalvage)</f>
        <v>0</v>
      </c>
      <c r="BC40" s="265" cm="1">
        <f t="array" ref="BC40">SUMPRODUCT(($C40=CapexCategory)*(BC$4=CapexSalvageMonth)*CapexSalvage)</f>
        <v>0</v>
      </c>
      <c r="BD40" s="265" cm="1">
        <f t="array" ref="BD40">SUMPRODUCT(($C40=CapexCategory)*(BD$4=CapexSalvageMonth)*CapexSalvage)</f>
        <v>0</v>
      </c>
      <c r="BE40" s="265" cm="1">
        <f t="array" ref="BE40">SUMPRODUCT(($C40=CapexCategory)*(BE$4=CapexSalvageMonth)*CapexSalvage)</f>
        <v>0</v>
      </c>
      <c r="BF40" s="263" cm="1">
        <f t="array" ref="BF40">SUMPRODUCT(($C40=CapexCategory)*(BF$4=CapexSalvageMonth)*CapexSalvage)</f>
        <v>0</v>
      </c>
      <c r="BG40" s="265" cm="1">
        <f t="array" ref="BG40">SUMPRODUCT(($C40=CapexCategory)*(BG$4=CapexSalvageMonth)*CapexSalvage)</f>
        <v>0</v>
      </c>
      <c r="BH40" s="265" cm="1">
        <f t="array" ref="BH40">SUMPRODUCT(($C40=CapexCategory)*(BH$4=CapexSalvageMonth)*CapexSalvage)</f>
        <v>0</v>
      </c>
      <c r="BI40" s="265" cm="1">
        <f t="array" ref="BI40">SUMPRODUCT(($C40=CapexCategory)*(BI$4=CapexSalvageMonth)*CapexSalvage)</f>
        <v>0</v>
      </c>
      <c r="BJ40" s="265" cm="1">
        <f t="array" ref="BJ40">SUMPRODUCT(($C40=CapexCategory)*(BJ$4=CapexSalvageMonth)*CapexSalvage)</f>
        <v>0</v>
      </c>
      <c r="BK40" s="265" cm="1">
        <f t="array" ref="BK40">SUMPRODUCT(($C40=CapexCategory)*(BK$4=CapexSalvageMonth)*CapexSalvage)</f>
        <v>0</v>
      </c>
      <c r="BL40" s="265" cm="1">
        <f t="array" ref="BL40">SUMPRODUCT(($C40=CapexCategory)*(BL$4=CapexSalvageMonth)*CapexSalvage)</f>
        <v>0</v>
      </c>
      <c r="BM40" s="265" cm="1">
        <f t="array" ref="BM40">SUMPRODUCT(($C40=CapexCategory)*(BM$4=CapexSalvageMonth)*CapexSalvage)</f>
        <v>0</v>
      </c>
      <c r="BN40" s="265" cm="1">
        <f t="array" ref="BN40">SUMPRODUCT(($C40=CapexCategory)*(BN$4=CapexSalvageMonth)*CapexSalvage)</f>
        <v>0</v>
      </c>
      <c r="BO40" s="265" cm="1">
        <f t="array" ref="BO40">SUMPRODUCT(($C40=CapexCategory)*(BO$4=CapexSalvageMonth)*CapexSalvage)</f>
        <v>0</v>
      </c>
      <c r="BP40" s="265" cm="1">
        <f t="array" ref="BP40">SUMPRODUCT(($C40=CapexCategory)*(BP$4=CapexSalvageMonth)*CapexSalvage)</f>
        <v>0</v>
      </c>
      <c r="BQ40" s="265" cm="1">
        <f t="array" ref="BQ40">SUMPRODUCT(($C40=CapexCategory)*(BQ$4=CapexSalvageMonth)*CapexSalvage)</f>
        <v>0</v>
      </c>
      <c r="BR40" s="263" cm="1">
        <f t="array" ref="BR40">SUMPRODUCT(($C40=CapexCategory)*(BR$4=CapexSalvageMonth)*CapexSalvage)</f>
        <v>0</v>
      </c>
    </row>
    <row r="41" spans="1:70" ht="13.2" x14ac:dyDescent="0.3">
      <c r="C41" s="185" t="s">
        <v>222</v>
      </c>
      <c r="D41" s="14"/>
      <c r="E41" s="263">
        <f t="shared" si="34"/>
        <v>18</v>
      </c>
      <c r="F41" s="263">
        <f t="shared" si="35"/>
        <v>0</v>
      </c>
      <c r="G41" s="263">
        <f t="shared" si="36"/>
        <v>0</v>
      </c>
      <c r="H41" s="263">
        <f t="shared" si="37"/>
        <v>0</v>
      </c>
      <c r="I41" s="263">
        <f t="shared" si="38"/>
        <v>0</v>
      </c>
      <c r="J41" s="264"/>
      <c r="K41" s="265" cm="1">
        <f t="array" ref="K41">SUMPRODUCT(($C41=CapexCategory)*(K$4=CapexSalvageMonth)*CapexSalvage)</f>
        <v>0</v>
      </c>
      <c r="L41" s="265" cm="1">
        <f t="array" ref="L41">SUMPRODUCT(($C41=CapexCategory)*(L$4=CapexSalvageMonth)*CapexSalvage)</f>
        <v>0</v>
      </c>
      <c r="M41" s="265" cm="1">
        <f t="array" ref="M41">SUMPRODUCT(($C41=CapexCategory)*(M$4=CapexSalvageMonth)*CapexSalvage)</f>
        <v>0</v>
      </c>
      <c r="N41" s="265" cm="1">
        <f t="array" ref="N41">SUMPRODUCT(($C41=CapexCategory)*(N$4=CapexSalvageMonth)*CapexSalvage)</f>
        <v>0</v>
      </c>
      <c r="O41" s="265" cm="1">
        <f t="array" ref="O41">SUMPRODUCT(($C41=CapexCategory)*(O$4=CapexSalvageMonth)*CapexSalvage)</f>
        <v>0</v>
      </c>
      <c r="P41" s="265" cm="1">
        <f t="array" ref="P41">SUMPRODUCT(($C41=CapexCategory)*(P$4=CapexSalvageMonth)*CapexSalvage)</f>
        <v>0</v>
      </c>
      <c r="Q41" s="265" cm="1">
        <f t="array" ref="Q41">SUMPRODUCT(($C41=CapexCategory)*(Q$4=CapexSalvageMonth)*CapexSalvage)</f>
        <v>0</v>
      </c>
      <c r="R41" s="265" cm="1">
        <f t="array" ref="R41">SUMPRODUCT(($C41=CapexCategory)*(R$4=CapexSalvageMonth)*CapexSalvage)</f>
        <v>0</v>
      </c>
      <c r="S41" s="265" cm="1">
        <f t="array" ref="S41">SUMPRODUCT(($C41=CapexCategory)*(S$4=CapexSalvageMonth)*CapexSalvage)</f>
        <v>0</v>
      </c>
      <c r="T41" s="265" cm="1">
        <f t="array" ref="T41">SUMPRODUCT(($C41=CapexCategory)*(T$4=CapexSalvageMonth)*CapexSalvage)</f>
        <v>0</v>
      </c>
      <c r="U41" s="265" cm="1">
        <f t="array" ref="U41">SUMPRODUCT(($C41=CapexCategory)*(U$4=CapexSalvageMonth)*CapexSalvage)</f>
        <v>0</v>
      </c>
      <c r="V41" s="263" cm="1">
        <f t="array" ref="V41">SUMPRODUCT(($C41=CapexCategory)*(V$4=CapexSalvageMonth)*CapexSalvage)</f>
        <v>18</v>
      </c>
      <c r="W41" s="265" cm="1">
        <f t="array" ref="W41">SUMPRODUCT(($C41=CapexCategory)*(W$4=CapexSalvageMonth)*CapexSalvage)</f>
        <v>0</v>
      </c>
      <c r="X41" s="265" cm="1">
        <f t="array" ref="X41">SUMPRODUCT(($C41=CapexCategory)*(X$4=CapexSalvageMonth)*CapexSalvage)</f>
        <v>0</v>
      </c>
      <c r="Y41" s="265" cm="1">
        <f t="array" ref="Y41">SUMPRODUCT(($C41=CapexCategory)*(Y$4=CapexSalvageMonth)*CapexSalvage)</f>
        <v>0</v>
      </c>
      <c r="Z41" s="265" cm="1">
        <f t="array" ref="Z41">SUMPRODUCT(($C41=CapexCategory)*(Z$4=CapexSalvageMonth)*CapexSalvage)</f>
        <v>0</v>
      </c>
      <c r="AA41" s="265" cm="1">
        <f t="array" ref="AA41">SUMPRODUCT(($C41=CapexCategory)*(AA$4=CapexSalvageMonth)*CapexSalvage)</f>
        <v>0</v>
      </c>
      <c r="AB41" s="265" cm="1">
        <f t="array" ref="AB41">SUMPRODUCT(($C41=CapexCategory)*(AB$4=CapexSalvageMonth)*CapexSalvage)</f>
        <v>0</v>
      </c>
      <c r="AC41" s="265" cm="1">
        <f t="array" ref="AC41">SUMPRODUCT(($C41=CapexCategory)*(AC$4=CapexSalvageMonth)*CapexSalvage)</f>
        <v>0</v>
      </c>
      <c r="AD41" s="265" cm="1">
        <f t="array" ref="AD41">SUMPRODUCT(($C41=CapexCategory)*(AD$4=CapexSalvageMonth)*CapexSalvage)</f>
        <v>0</v>
      </c>
      <c r="AE41" s="265" cm="1">
        <f t="array" ref="AE41">SUMPRODUCT(($C41=CapexCategory)*(AE$4=CapexSalvageMonth)*CapexSalvage)</f>
        <v>0</v>
      </c>
      <c r="AF41" s="265" cm="1">
        <f t="array" ref="AF41">SUMPRODUCT(($C41=CapexCategory)*(AF$4=CapexSalvageMonth)*CapexSalvage)</f>
        <v>0</v>
      </c>
      <c r="AG41" s="265" cm="1">
        <f t="array" ref="AG41">SUMPRODUCT(($C41=CapexCategory)*(AG$4=CapexSalvageMonth)*CapexSalvage)</f>
        <v>0</v>
      </c>
      <c r="AH41" s="263" cm="1">
        <f t="array" ref="AH41">SUMPRODUCT(($C41=CapexCategory)*(AH$4=CapexSalvageMonth)*CapexSalvage)</f>
        <v>0</v>
      </c>
      <c r="AI41" s="265" cm="1">
        <f t="array" ref="AI41">SUMPRODUCT(($C41=CapexCategory)*(AI$4=CapexSalvageMonth)*CapexSalvage)</f>
        <v>0</v>
      </c>
      <c r="AJ41" s="265" cm="1">
        <f t="array" ref="AJ41">SUMPRODUCT(($C41=CapexCategory)*(AJ$4=CapexSalvageMonth)*CapexSalvage)</f>
        <v>0</v>
      </c>
      <c r="AK41" s="265" cm="1">
        <f t="array" ref="AK41">SUMPRODUCT(($C41=CapexCategory)*(AK$4=CapexSalvageMonth)*CapexSalvage)</f>
        <v>0</v>
      </c>
      <c r="AL41" s="265" cm="1">
        <f t="array" ref="AL41">SUMPRODUCT(($C41=CapexCategory)*(AL$4=CapexSalvageMonth)*CapexSalvage)</f>
        <v>0</v>
      </c>
      <c r="AM41" s="265" cm="1">
        <f t="array" ref="AM41">SUMPRODUCT(($C41=CapexCategory)*(AM$4=CapexSalvageMonth)*CapexSalvage)</f>
        <v>0</v>
      </c>
      <c r="AN41" s="265" cm="1">
        <f t="array" ref="AN41">SUMPRODUCT(($C41=CapexCategory)*(AN$4=CapexSalvageMonth)*CapexSalvage)</f>
        <v>0</v>
      </c>
      <c r="AO41" s="265" cm="1">
        <f t="array" ref="AO41">SUMPRODUCT(($C41=CapexCategory)*(AO$4=CapexSalvageMonth)*CapexSalvage)</f>
        <v>0</v>
      </c>
      <c r="AP41" s="265" cm="1">
        <f t="array" ref="AP41">SUMPRODUCT(($C41=CapexCategory)*(AP$4=CapexSalvageMonth)*CapexSalvage)</f>
        <v>0</v>
      </c>
      <c r="AQ41" s="265" cm="1">
        <f t="array" ref="AQ41">SUMPRODUCT(($C41=CapexCategory)*(AQ$4=CapexSalvageMonth)*CapexSalvage)</f>
        <v>0</v>
      </c>
      <c r="AR41" s="265" cm="1">
        <f t="array" ref="AR41">SUMPRODUCT(($C41=CapexCategory)*(AR$4=CapexSalvageMonth)*CapexSalvage)</f>
        <v>0</v>
      </c>
      <c r="AS41" s="265" cm="1">
        <f t="array" ref="AS41">SUMPRODUCT(($C41=CapexCategory)*(AS$4=CapexSalvageMonth)*CapexSalvage)</f>
        <v>0</v>
      </c>
      <c r="AT41" s="263" cm="1">
        <f t="array" ref="AT41">SUMPRODUCT(($C41=CapexCategory)*(AT$4=CapexSalvageMonth)*CapexSalvage)</f>
        <v>0</v>
      </c>
      <c r="AU41" s="265" cm="1">
        <f t="array" ref="AU41">SUMPRODUCT(($C41=CapexCategory)*(AU$4=CapexSalvageMonth)*CapexSalvage)</f>
        <v>0</v>
      </c>
      <c r="AV41" s="265" cm="1">
        <f t="array" ref="AV41">SUMPRODUCT(($C41=CapexCategory)*(AV$4=CapexSalvageMonth)*CapexSalvage)</f>
        <v>0</v>
      </c>
      <c r="AW41" s="265" cm="1">
        <f t="array" ref="AW41">SUMPRODUCT(($C41=CapexCategory)*(AW$4=CapexSalvageMonth)*CapexSalvage)</f>
        <v>0</v>
      </c>
      <c r="AX41" s="265" cm="1">
        <f t="array" ref="AX41">SUMPRODUCT(($C41=CapexCategory)*(AX$4=CapexSalvageMonth)*CapexSalvage)</f>
        <v>0</v>
      </c>
      <c r="AY41" s="265" cm="1">
        <f t="array" ref="AY41">SUMPRODUCT(($C41=CapexCategory)*(AY$4=CapexSalvageMonth)*CapexSalvage)</f>
        <v>0</v>
      </c>
      <c r="AZ41" s="265" cm="1">
        <f t="array" ref="AZ41">SUMPRODUCT(($C41=CapexCategory)*(AZ$4=CapexSalvageMonth)*CapexSalvage)</f>
        <v>0</v>
      </c>
      <c r="BA41" s="265" cm="1">
        <f t="array" ref="BA41">SUMPRODUCT(($C41=CapexCategory)*(BA$4=CapexSalvageMonth)*CapexSalvage)</f>
        <v>0</v>
      </c>
      <c r="BB41" s="265" cm="1">
        <f t="array" ref="BB41">SUMPRODUCT(($C41=CapexCategory)*(BB$4=CapexSalvageMonth)*CapexSalvage)</f>
        <v>0</v>
      </c>
      <c r="BC41" s="265" cm="1">
        <f t="array" ref="BC41">SUMPRODUCT(($C41=CapexCategory)*(BC$4=CapexSalvageMonth)*CapexSalvage)</f>
        <v>0</v>
      </c>
      <c r="BD41" s="265" cm="1">
        <f t="array" ref="BD41">SUMPRODUCT(($C41=CapexCategory)*(BD$4=CapexSalvageMonth)*CapexSalvage)</f>
        <v>0</v>
      </c>
      <c r="BE41" s="265" cm="1">
        <f t="array" ref="BE41">SUMPRODUCT(($C41=CapexCategory)*(BE$4=CapexSalvageMonth)*CapexSalvage)</f>
        <v>0</v>
      </c>
      <c r="BF41" s="263" cm="1">
        <f t="array" ref="BF41">SUMPRODUCT(($C41=CapexCategory)*(BF$4=CapexSalvageMonth)*CapexSalvage)</f>
        <v>0</v>
      </c>
      <c r="BG41" s="265" cm="1">
        <f t="array" ref="BG41">SUMPRODUCT(($C41=CapexCategory)*(BG$4=CapexSalvageMonth)*CapexSalvage)</f>
        <v>0</v>
      </c>
      <c r="BH41" s="265" cm="1">
        <f t="array" ref="BH41">SUMPRODUCT(($C41=CapexCategory)*(BH$4=CapexSalvageMonth)*CapexSalvage)</f>
        <v>0</v>
      </c>
      <c r="BI41" s="265" cm="1">
        <f t="array" ref="BI41">SUMPRODUCT(($C41=CapexCategory)*(BI$4=CapexSalvageMonth)*CapexSalvage)</f>
        <v>0</v>
      </c>
      <c r="BJ41" s="265" cm="1">
        <f t="array" ref="BJ41">SUMPRODUCT(($C41=CapexCategory)*(BJ$4=CapexSalvageMonth)*CapexSalvage)</f>
        <v>0</v>
      </c>
      <c r="BK41" s="265" cm="1">
        <f t="array" ref="BK41">SUMPRODUCT(($C41=CapexCategory)*(BK$4=CapexSalvageMonth)*CapexSalvage)</f>
        <v>0</v>
      </c>
      <c r="BL41" s="265" cm="1">
        <f t="array" ref="BL41">SUMPRODUCT(($C41=CapexCategory)*(BL$4=CapexSalvageMonth)*CapexSalvage)</f>
        <v>0</v>
      </c>
      <c r="BM41" s="265" cm="1">
        <f t="array" ref="BM41">SUMPRODUCT(($C41=CapexCategory)*(BM$4=CapexSalvageMonth)*CapexSalvage)</f>
        <v>0</v>
      </c>
      <c r="BN41" s="265" cm="1">
        <f t="array" ref="BN41">SUMPRODUCT(($C41=CapexCategory)*(BN$4=CapexSalvageMonth)*CapexSalvage)</f>
        <v>0</v>
      </c>
      <c r="BO41" s="265" cm="1">
        <f t="array" ref="BO41">SUMPRODUCT(($C41=CapexCategory)*(BO$4=CapexSalvageMonth)*CapexSalvage)</f>
        <v>0</v>
      </c>
      <c r="BP41" s="265" cm="1">
        <f t="array" ref="BP41">SUMPRODUCT(($C41=CapexCategory)*(BP$4=CapexSalvageMonth)*CapexSalvage)</f>
        <v>0</v>
      </c>
      <c r="BQ41" s="265" cm="1">
        <f t="array" ref="BQ41">SUMPRODUCT(($C41=CapexCategory)*(BQ$4=CapexSalvageMonth)*CapexSalvage)</f>
        <v>0</v>
      </c>
      <c r="BR41" s="263" cm="1">
        <f t="array" ref="BR41">SUMPRODUCT(($C41=CapexCategory)*(BR$4=CapexSalvageMonth)*CapexSalvage)</f>
        <v>0</v>
      </c>
    </row>
    <row r="42" spans="1:70" ht="13.2" x14ac:dyDescent="0.3">
      <c r="C42" s="185" t="s">
        <v>223</v>
      </c>
      <c r="D42" s="14"/>
      <c r="E42" s="263">
        <f t="shared" si="34"/>
        <v>0</v>
      </c>
      <c r="F42" s="263">
        <f t="shared" si="35"/>
        <v>0</v>
      </c>
      <c r="G42" s="263">
        <f t="shared" si="36"/>
        <v>0</v>
      </c>
      <c r="H42" s="263">
        <f t="shared" si="37"/>
        <v>0</v>
      </c>
      <c r="I42" s="263">
        <f t="shared" si="38"/>
        <v>45</v>
      </c>
      <c r="J42" s="264"/>
      <c r="K42" s="265" cm="1">
        <f t="array" ref="K42">SUMPRODUCT(($C42=CapexCategory)*(K$4=CapexSalvageMonth)*CapexSalvage)</f>
        <v>0</v>
      </c>
      <c r="L42" s="265" cm="1">
        <f t="array" ref="L42">SUMPRODUCT(($C42=CapexCategory)*(L$4=CapexSalvageMonth)*CapexSalvage)</f>
        <v>0</v>
      </c>
      <c r="M42" s="265" cm="1">
        <f t="array" ref="M42">SUMPRODUCT(($C42=CapexCategory)*(M$4=CapexSalvageMonth)*CapexSalvage)</f>
        <v>0</v>
      </c>
      <c r="N42" s="265" cm="1">
        <f t="array" ref="N42">SUMPRODUCT(($C42=CapexCategory)*(N$4=CapexSalvageMonth)*CapexSalvage)</f>
        <v>0</v>
      </c>
      <c r="O42" s="265" cm="1">
        <f t="array" ref="O42">SUMPRODUCT(($C42=CapexCategory)*(O$4=CapexSalvageMonth)*CapexSalvage)</f>
        <v>0</v>
      </c>
      <c r="P42" s="265" cm="1">
        <f t="array" ref="P42">SUMPRODUCT(($C42=CapexCategory)*(P$4=CapexSalvageMonth)*CapexSalvage)</f>
        <v>0</v>
      </c>
      <c r="Q42" s="265" cm="1">
        <f t="array" ref="Q42">SUMPRODUCT(($C42=CapexCategory)*(Q$4=CapexSalvageMonth)*CapexSalvage)</f>
        <v>0</v>
      </c>
      <c r="R42" s="265" cm="1">
        <f t="array" ref="R42">SUMPRODUCT(($C42=CapexCategory)*(R$4=CapexSalvageMonth)*CapexSalvage)</f>
        <v>0</v>
      </c>
      <c r="S42" s="265" cm="1">
        <f t="array" ref="S42">SUMPRODUCT(($C42=CapexCategory)*(S$4=CapexSalvageMonth)*CapexSalvage)</f>
        <v>0</v>
      </c>
      <c r="T42" s="265" cm="1">
        <f t="array" ref="T42">SUMPRODUCT(($C42=CapexCategory)*(T$4=CapexSalvageMonth)*CapexSalvage)</f>
        <v>0</v>
      </c>
      <c r="U42" s="265" cm="1">
        <f t="array" ref="U42">SUMPRODUCT(($C42=CapexCategory)*(U$4=CapexSalvageMonth)*CapexSalvage)</f>
        <v>0</v>
      </c>
      <c r="V42" s="263" cm="1">
        <f t="array" ref="V42">SUMPRODUCT(($C42=CapexCategory)*(V$4=CapexSalvageMonth)*CapexSalvage)</f>
        <v>0</v>
      </c>
      <c r="W42" s="265" cm="1">
        <f t="array" ref="W42">SUMPRODUCT(($C42=CapexCategory)*(W$4=CapexSalvageMonth)*CapexSalvage)</f>
        <v>0</v>
      </c>
      <c r="X42" s="265" cm="1">
        <f t="array" ref="X42">SUMPRODUCT(($C42=CapexCategory)*(X$4=CapexSalvageMonth)*CapexSalvage)</f>
        <v>0</v>
      </c>
      <c r="Y42" s="265" cm="1">
        <f t="array" ref="Y42">SUMPRODUCT(($C42=CapexCategory)*(Y$4=CapexSalvageMonth)*CapexSalvage)</f>
        <v>0</v>
      </c>
      <c r="Z42" s="265" cm="1">
        <f t="array" ref="Z42">SUMPRODUCT(($C42=CapexCategory)*(Z$4=CapexSalvageMonth)*CapexSalvage)</f>
        <v>0</v>
      </c>
      <c r="AA42" s="265" cm="1">
        <f t="array" ref="AA42">SUMPRODUCT(($C42=CapexCategory)*(AA$4=CapexSalvageMonth)*CapexSalvage)</f>
        <v>0</v>
      </c>
      <c r="AB42" s="265" cm="1">
        <f t="array" ref="AB42">SUMPRODUCT(($C42=CapexCategory)*(AB$4=CapexSalvageMonth)*CapexSalvage)</f>
        <v>0</v>
      </c>
      <c r="AC42" s="265" cm="1">
        <f t="array" ref="AC42">SUMPRODUCT(($C42=CapexCategory)*(AC$4=CapexSalvageMonth)*CapexSalvage)</f>
        <v>0</v>
      </c>
      <c r="AD42" s="265" cm="1">
        <f t="array" ref="AD42">SUMPRODUCT(($C42=CapexCategory)*(AD$4=CapexSalvageMonth)*CapexSalvage)</f>
        <v>0</v>
      </c>
      <c r="AE42" s="265" cm="1">
        <f t="array" ref="AE42">SUMPRODUCT(($C42=CapexCategory)*(AE$4=CapexSalvageMonth)*CapexSalvage)</f>
        <v>0</v>
      </c>
      <c r="AF42" s="265" cm="1">
        <f t="array" ref="AF42">SUMPRODUCT(($C42=CapexCategory)*(AF$4=CapexSalvageMonth)*CapexSalvage)</f>
        <v>0</v>
      </c>
      <c r="AG42" s="265" cm="1">
        <f t="array" ref="AG42">SUMPRODUCT(($C42=CapexCategory)*(AG$4=CapexSalvageMonth)*CapexSalvage)</f>
        <v>0</v>
      </c>
      <c r="AH42" s="263" cm="1">
        <f t="array" ref="AH42">SUMPRODUCT(($C42=CapexCategory)*(AH$4=CapexSalvageMonth)*CapexSalvage)</f>
        <v>0</v>
      </c>
      <c r="AI42" s="265" cm="1">
        <f t="array" ref="AI42">SUMPRODUCT(($C42=CapexCategory)*(AI$4=CapexSalvageMonth)*CapexSalvage)</f>
        <v>0</v>
      </c>
      <c r="AJ42" s="265" cm="1">
        <f t="array" ref="AJ42">SUMPRODUCT(($C42=CapexCategory)*(AJ$4=CapexSalvageMonth)*CapexSalvage)</f>
        <v>0</v>
      </c>
      <c r="AK42" s="265" cm="1">
        <f t="array" ref="AK42">SUMPRODUCT(($C42=CapexCategory)*(AK$4=CapexSalvageMonth)*CapexSalvage)</f>
        <v>0</v>
      </c>
      <c r="AL42" s="265" cm="1">
        <f t="array" ref="AL42">SUMPRODUCT(($C42=CapexCategory)*(AL$4=CapexSalvageMonth)*CapexSalvage)</f>
        <v>0</v>
      </c>
      <c r="AM42" s="265" cm="1">
        <f t="array" ref="AM42">SUMPRODUCT(($C42=CapexCategory)*(AM$4=CapexSalvageMonth)*CapexSalvage)</f>
        <v>0</v>
      </c>
      <c r="AN42" s="265" cm="1">
        <f t="array" ref="AN42">SUMPRODUCT(($C42=CapexCategory)*(AN$4=CapexSalvageMonth)*CapexSalvage)</f>
        <v>0</v>
      </c>
      <c r="AO42" s="265" cm="1">
        <f t="array" ref="AO42">SUMPRODUCT(($C42=CapexCategory)*(AO$4=CapexSalvageMonth)*CapexSalvage)</f>
        <v>0</v>
      </c>
      <c r="AP42" s="265" cm="1">
        <f t="array" ref="AP42">SUMPRODUCT(($C42=CapexCategory)*(AP$4=CapexSalvageMonth)*CapexSalvage)</f>
        <v>0</v>
      </c>
      <c r="AQ42" s="265" cm="1">
        <f t="array" ref="AQ42">SUMPRODUCT(($C42=CapexCategory)*(AQ$4=CapexSalvageMonth)*CapexSalvage)</f>
        <v>0</v>
      </c>
      <c r="AR42" s="265" cm="1">
        <f t="array" ref="AR42">SUMPRODUCT(($C42=CapexCategory)*(AR$4=CapexSalvageMonth)*CapexSalvage)</f>
        <v>0</v>
      </c>
      <c r="AS42" s="265" cm="1">
        <f t="array" ref="AS42">SUMPRODUCT(($C42=CapexCategory)*(AS$4=CapexSalvageMonth)*CapexSalvage)</f>
        <v>0</v>
      </c>
      <c r="AT42" s="263" cm="1">
        <f t="array" ref="AT42">SUMPRODUCT(($C42=CapexCategory)*(AT$4=CapexSalvageMonth)*CapexSalvage)</f>
        <v>0</v>
      </c>
      <c r="AU42" s="265" cm="1">
        <f t="array" ref="AU42">SUMPRODUCT(($C42=CapexCategory)*(AU$4=CapexSalvageMonth)*CapexSalvage)</f>
        <v>0</v>
      </c>
      <c r="AV42" s="265" cm="1">
        <f t="array" ref="AV42">SUMPRODUCT(($C42=CapexCategory)*(AV$4=CapexSalvageMonth)*CapexSalvage)</f>
        <v>0</v>
      </c>
      <c r="AW42" s="265" cm="1">
        <f t="array" ref="AW42">SUMPRODUCT(($C42=CapexCategory)*(AW$4=CapexSalvageMonth)*CapexSalvage)</f>
        <v>0</v>
      </c>
      <c r="AX42" s="265" cm="1">
        <f t="array" ref="AX42">SUMPRODUCT(($C42=CapexCategory)*(AX$4=CapexSalvageMonth)*CapexSalvage)</f>
        <v>0</v>
      </c>
      <c r="AY42" s="265" cm="1">
        <f t="array" ref="AY42">SUMPRODUCT(($C42=CapexCategory)*(AY$4=CapexSalvageMonth)*CapexSalvage)</f>
        <v>0</v>
      </c>
      <c r="AZ42" s="265" cm="1">
        <f t="array" ref="AZ42">SUMPRODUCT(($C42=CapexCategory)*(AZ$4=CapexSalvageMonth)*CapexSalvage)</f>
        <v>0</v>
      </c>
      <c r="BA42" s="265" cm="1">
        <f t="array" ref="BA42">SUMPRODUCT(($C42=CapexCategory)*(BA$4=CapexSalvageMonth)*CapexSalvage)</f>
        <v>0</v>
      </c>
      <c r="BB42" s="265" cm="1">
        <f t="array" ref="BB42">SUMPRODUCT(($C42=CapexCategory)*(BB$4=CapexSalvageMonth)*CapexSalvage)</f>
        <v>0</v>
      </c>
      <c r="BC42" s="265" cm="1">
        <f t="array" ref="BC42">SUMPRODUCT(($C42=CapexCategory)*(BC$4=CapexSalvageMonth)*CapexSalvage)</f>
        <v>0</v>
      </c>
      <c r="BD42" s="265" cm="1">
        <f t="array" ref="BD42">SUMPRODUCT(($C42=CapexCategory)*(BD$4=CapexSalvageMonth)*CapexSalvage)</f>
        <v>0</v>
      </c>
      <c r="BE42" s="265" cm="1">
        <f t="array" ref="BE42">SUMPRODUCT(($C42=CapexCategory)*(BE$4=CapexSalvageMonth)*CapexSalvage)</f>
        <v>0</v>
      </c>
      <c r="BF42" s="263" cm="1">
        <f t="array" ref="BF42">SUMPRODUCT(($C42=CapexCategory)*(BF$4=CapexSalvageMonth)*CapexSalvage)</f>
        <v>0</v>
      </c>
      <c r="BG42" s="265" cm="1">
        <f t="array" ref="BG42">SUMPRODUCT(($C42=CapexCategory)*(BG$4=CapexSalvageMonth)*CapexSalvage)</f>
        <v>0</v>
      </c>
      <c r="BH42" s="265" cm="1">
        <f t="array" ref="BH42">SUMPRODUCT(($C42=CapexCategory)*(BH$4=CapexSalvageMonth)*CapexSalvage)</f>
        <v>0</v>
      </c>
      <c r="BI42" s="265" cm="1">
        <f t="array" ref="BI42">SUMPRODUCT(($C42=CapexCategory)*(BI$4=CapexSalvageMonth)*CapexSalvage)</f>
        <v>0</v>
      </c>
      <c r="BJ42" s="265" cm="1">
        <f t="array" ref="BJ42">SUMPRODUCT(($C42=CapexCategory)*(BJ$4=CapexSalvageMonth)*CapexSalvage)</f>
        <v>0</v>
      </c>
      <c r="BK42" s="265" cm="1">
        <f t="array" ref="BK42">SUMPRODUCT(($C42=CapexCategory)*(BK$4=CapexSalvageMonth)*CapexSalvage)</f>
        <v>0</v>
      </c>
      <c r="BL42" s="265" cm="1">
        <f t="array" ref="BL42">SUMPRODUCT(($C42=CapexCategory)*(BL$4=CapexSalvageMonth)*CapexSalvage)</f>
        <v>0</v>
      </c>
      <c r="BM42" s="265" cm="1">
        <f t="array" ref="BM42">SUMPRODUCT(($C42=CapexCategory)*(BM$4=CapexSalvageMonth)*CapexSalvage)</f>
        <v>0</v>
      </c>
      <c r="BN42" s="265" cm="1">
        <f t="array" ref="BN42">SUMPRODUCT(($C42=CapexCategory)*(BN$4=CapexSalvageMonth)*CapexSalvage)</f>
        <v>0</v>
      </c>
      <c r="BO42" s="265" cm="1">
        <f t="array" ref="BO42">SUMPRODUCT(($C42=CapexCategory)*(BO$4=CapexSalvageMonth)*CapexSalvage)</f>
        <v>0</v>
      </c>
      <c r="BP42" s="265" cm="1">
        <f t="array" ref="BP42">SUMPRODUCT(($C42=CapexCategory)*(BP$4=CapexSalvageMonth)*CapexSalvage)</f>
        <v>45</v>
      </c>
      <c r="BQ42" s="265" cm="1">
        <f t="array" ref="BQ42">SUMPRODUCT(($C42=CapexCategory)*(BQ$4=CapexSalvageMonth)*CapexSalvage)</f>
        <v>0</v>
      </c>
      <c r="BR42" s="263" cm="1">
        <f t="array" ref="BR42">SUMPRODUCT(($C42=CapexCategory)*(BR$4=CapexSalvageMonth)*CapexSalvage)</f>
        <v>0</v>
      </c>
    </row>
    <row r="43" spans="1:70" ht="13.2" x14ac:dyDescent="0.3">
      <c r="C43" s="246" t="s">
        <v>224</v>
      </c>
      <c r="D43" s="14"/>
      <c r="E43" s="247">
        <f t="shared" si="34"/>
        <v>0</v>
      </c>
      <c r="F43" s="247">
        <f t="shared" si="35"/>
        <v>0</v>
      </c>
      <c r="G43" s="247">
        <f t="shared" si="36"/>
        <v>0</v>
      </c>
      <c r="H43" s="247">
        <f t="shared" si="37"/>
        <v>0</v>
      </c>
      <c r="I43" s="247">
        <f t="shared" si="38"/>
        <v>0</v>
      </c>
      <c r="J43" s="264"/>
      <c r="K43" s="226" cm="1">
        <f t="array" ref="K43">SUMPRODUCT(   ((ISBLANK(CapexCategory) + (CapexCategory="Other"))&gt;0)   * (K$4=CapexSalvageMonth)*CapexSalvage)</f>
        <v>0</v>
      </c>
      <c r="L43" s="226" cm="1">
        <f t="array" ref="L43">SUMPRODUCT(   ((ISBLANK(CapexCategory) + (CapexCategory="Other"))&gt;0)   * (L$4=CapexSalvageMonth)*CapexSalvage)</f>
        <v>0</v>
      </c>
      <c r="M43" s="226" cm="1">
        <f t="array" ref="M43">SUMPRODUCT(   ((ISBLANK(CapexCategory) + (CapexCategory="Other"))&gt;0)   * (M$4=CapexSalvageMonth)*CapexSalvage)</f>
        <v>0</v>
      </c>
      <c r="N43" s="226" cm="1">
        <f t="array" ref="N43">SUMPRODUCT(   ((ISBLANK(CapexCategory) + (CapexCategory="Other"))&gt;0)   * (N$4=CapexSalvageMonth)*CapexSalvage)</f>
        <v>0</v>
      </c>
      <c r="O43" s="226" cm="1">
        <f t="array" ref="O43">SUMPRODUCT(   ((ISBLANK(CapexCategory) + (CapexCategory="Other"))&gt;0)   * (O$4=CapexSalvageMonth)*CapexSalvage)</f>
        <v>0</v>
      </c>
      <c r="P43" s="226" cm="1">
        <f t="array" ref="P43">SUMPRODUCT(   ((ISBLANK(CapexCategory) + (CapexCategory="Other"))&gt;0)   * (P$4=CapexSalvageMonth)*CapexSalvage)</f>
        <v>0</v>
      </c>
      <c r="Q43" s="226" cm="1">
        <f t="array" ref="Q43">SUMPRODUCT(   ((ISBLANK(CapexCategory) + (CapexCategory="Other"))&gt;0)   * (Q$4=CapexSalvageMonth)*CapexSalvage)</f>
        <v>0</v>
      </c>
      <c r="R43" s="226" cm="1">
        <f t="array" ref="R43">SUMPRODUCT(   ((ISBLANK(CapexCategory) + (CapexCategory="Other"))&gt;0)   * (R$4=CapexSalvageMonth)*CapexSalvage)</f>
        <v>0</v>
      </c>
      <c r="S43" s="226" cm="1">
        <f t="array" ref="S43">SUMPRODUCT(   ((ISBLANK(CapexCategory) + (CapexCategory="Other"))&gt;0)   * (S$4=CapexSalvageMonth)*CapexSalvage)</f>
        <v>0</v>
      </c>
      <c r="T43" s="226" cm="1">
        <f t="array" ref="T43">SUMPRODUCT(   ((ISBLANK(CapexCategory) + (CapexCategory="Other"))&gt;0)   * (T$4=CapexSalvageMonth)*CapexSalvage)</f>
        <v>0</v>
      </c>
      <c r="U43" s="226" cm="1">
        <f t="array" ref="U43">SUMPRODUCT(   ((ISBLANK(CapexCategory) + (CapexCategory="Other"))&gt;0)   * (U$4=CapexSalvageMonth)*CapexSalvage)</f>
        <v>0</v>
      </c>
      <c r="V43" s="247" cm="1">
        <f t="array" ref="V43">SUMPRODUCT(   ((ISBLANK(CapexCategory) + (CapexCategory="Other"))&gt;0)   * (V$4=CapexSalvageMonth)*CapexSalvage)</f>
        <v>0</v>
      </c>
      <c r="W43" s="226" cm="1">
        <f t="array" ref="W43">SUMPRODUCT(   ((ISBLANK(CapexCategory) + (CapexCategory="Other"))&gt;0)   * (W$4=CapexSalvageMonth)*CapexSalvage)</f>
        <v>0</v>
      </c>
      <c r="X43" s="226" cm="1">
        <f t="array" ref="X43">SUMPRODUCT(   ((ISBLANK(CapexCategory) + (CapexCategory="Other"))&gt;0)   * (X$4=CapexSalvageMonth)*CapexSalvage)</f>
        <v>0</v>
      </c>
      <c r="Y43" s="226" cm="1">
        <f t="array" ref="Y43">SUMPRODUCT(   ((ISBLANK(CapexCategory) + (CapexCategory="Other"))&gt;0)   * (Y$4=CapexSalvageMonth)*CapexSalvage)</f>
        <v>0</v>
      </c>
      <c r="Z43" s="226" cm="1">
        <f t="array" ref="Z43">SUMPRODUCT(   ((ISBLANK(CapexCategory) + (CapexCategory="Other"))&gt;0)   * (Z$4=CapexSalvageMonth)*CapexSalvage)</f>
        <v>0</v>
      </c>
      <c r="AA43" s="226" cm="1">
        <f t="array" ref="AA43">SUMPRODUCT(   ((ISBLANK(CapexCategory) + (CapexCategory="Other"))&gt;0)   * (AA$4=CapexSalvageMonth)*CapexSalvage)</f>
        <v>0</v>
      </c>
      <c r="AB43" s="226" cm="1">
        <f t="array" ref="AB43">SUMPRODUCT(   ((ISBLANK(CapexCategory) + (CapexCategory="Other"))&gt;0)   * (AB$4=CapexSalvageMonth)*CapexSalvage)</f>
        <v>0</v>
      </c>
      <c r="AC43" s="226" cm="1">
        <f t="array" ref="AC43">SUMPRODUCT(   ((ISBLANK(CapexCategory) + (CapexCategory="Other"))&gt;0)   * (AC$4=CapexSalvageMonth)*CapexSalvage)</f>
        <v>0</v>
      </c>
      <c r="AD43" s="226" cm="1">
        <f t="array" ref="AD43">SUMPRODUCT(   ((ISBLANK(CapexCategory) + (CapexCategory="Other"))&gt;0)   * (AD$4=CapexSalvageMonth)*CapexSalvage)</f>
        <v>0</v>
      </c>
      <c r="AE43" s="226" cm="1">
        <f t="array" ref="AE43">SUMPRODUCT(   ((ISBLANK(CapexCategory) + (CapexCategory="Other"))&gt;0)   * (AE$4=CapexSalvageMonth)*CapexSalvage)</f>
        <v>0</v>
      </c>
      <c r="AF43" s="226" cm="1">
        <f t="array" ref="AF43">SUMPRODUCT(   ((ISBLANK(CapexCategory) + (CapexCategory="Other"))&gt;0)   * (AF$4=CapexSalvageMonth)*CapexSalvage)</f>
        <v>0</v>
      </c>
      <c r="AG43" s="226" cm="1">
        <f t="array" ref="AG43">SUMPRODUCT(   ((ISBLANK(CapexCategory) + (CapexCategory="Other"))&gt;0)   * (AG$4=CapexSalvageMonth)*CapexSalvage)</f>
        <v>0</v>
      </c>
      <c r="AH43" s="247" cm="1">
        <f t="array" ref="AH43">SUMPRODUCT(   ((ISBLANK(CapexCategory) + (CapexCategory="Other"))&gt;0)   * (AH$4=CapexSalvageMonth)*CapexSalvage)</f>
        <v>0</v>
      </c>
      <c r="AI43" s="226" cm="1">
        <f t="array" ref="AI43">SUMPRODUCT(   ((ISBLANK(CapexCategory) + (CapexCategory="Other"))&gt;0)   * (AI$4=CapexSalvageMonth)*CapexSalvage)</f>
        <v>0</v>
      </c>
      <c r="AJ43" s="226" cm="1">
        <f t="array" ref="AJ43">SUMPRODUCT(   ((ISBLANK(CapexCategory) + (CapexCategory="Other"))&gt;0)   * (AJ$4=CapexSalvageMonth)*CapexSalvage)</f>
        <v>0</v>
      </c>
      <c r="AK43" s="226" cm="1">
        <f t="array" ref="AK43">SUMPRODUCT(   ((ISBLANK(CapexCategory) + (CapexCategory="Other"))&gt;0)   * (AK$4=CapexSalvageMonth)*CapexSalvage)</f>
        <v>0</v>
      </c>
      <c r="AL43" s="226" cm="1">
        <f t="array" ref="AL43">SUMPRODUCT(   ((ISBLANK(CapexCategory) + (CapexCategory="Other"))&gt;0)   * (AL$4=CapexSalvageMonth)*CapexSalvage)</f>
        <v>0</v>
      </c>
      <c r="AM43" s="226" cm="1">
        <f t="array" ref="AM43">SUMPRODUCT(   ((ISBLANK(CapexCategory) + (CapexCategory="Other"))&gt;0)   * (AM$4=CapexSalvageMonth)*CapexSalvage)</f>
        <v>0</v>
      </c>
      <c r="AN43" s="226" cm="1">
        <f t="array" ref="AN43">SUMPRODUCT(   ((ISBLANK(CapexCategory) + (CapexCategory="Other"))&gt;0)   * (AN$4=CapexSalvageMonth)*CapexSalvage)</f>
        <v>0</v>
      </c>
      <c r="AO43" s="226" cm="1">
        <f t="array" ref="AO43">SUMPRODUCT(   ((ISBLANK(CapexCategory) + (CapexCategory="Other"))&gt;0)   * (AO$4=CapexSalvageMonth)*CapexSalvage)</f>
        <v>0</v>
      </c>
      <c r="AP43" s="226" cm="1">
        <f t="array" ref="AP43">SUMPRODUCT(   ((ISBLANK(CapexCategory) + (CapexCategory="Other"))&gt;0)   * (AP$4=CapexSalvageMonth)*CapexSalvage)</f>
        <v>0</v>
      </c>
      <c r="AQ43" s="226" cm="1">
        <f t="array" ref="AQ43">SUMPRODUCT(   ((ISBLANK(CapexCategory) + (CapexCategory="Other"))&gt;0)   * (AQ$4=CapexSalvageMonth)*CapexSalvage)</f>
        <v>0</v>
      </c>
      <c r="AR43" s="226" cm="1">
        <f t="array" ref="AR43">SUMPRODUCT(   ((ISBLANK(CapexCategory) + (CapexCategory="Other"))&gt;0)   * (AR$4=CapexSalvageMonth)*CapexSalvage)</f>
        <v>0</v>
      </c>
      <c r="AS43" s="226" cm="1">
        <f t="array" ref="AS43">SUMPRODUCT(   ((ISBLANK(CapexCategory) + (CapexCategory="Other"))&gt;0)   * (AS$4=CapexSalvageMonth)*CapexSalvage)</f>
        <v>0</v>
      </c>
      <c r="AT43" s="247" cm="1">
        <f t="array" ref="AT43">SUMPRODUCT(   ((ISBLANK(CapexCategory) + (CapexCategory="Other"))&gt;0)   * (AT$4=CapexSalvageMonth)*CapexSalvage)</f>
        <v>0</v>
      </c>
      <c r="AU43" s="226" cm="1">
        <f t="array" ref="AU43">SUMPRODUCT(   ((ISBLANK(CapexCategory) + (CapexCategory="Other"))&gt;0)   * (AU$4=CapexSalvageMonth)*CapexSalvage)</f>
        <v>0</v>
      </c>
      <c r="AV43" s="226" cm="1">
        <f t="array" ref="AV43">SUMPRODUCT(   ((ISBLANK(CapexCategory) + (CapexCategory="Other"))&gt;0)   * (AV$4=CapexSalvageMonth)*CapexSalvage)</f>
        <v>0</v>
      </c>
      <c r="AW43" s="226" cm="1">
        <f t="array" ref="AW43">SUMPRODUCT(   ((ISBLANK(CapexCategory) + (CapexCategory="Other"))&gt;0)   * (AW$4=CapexSalvageMonth)*CapexSalvage)</f>
        <v>0</v>
      </c>
      <c r="AX43" s="226" cm="1">
        <f t="array" ref="AX43">SUMPRODUCT(   ((ISBLANK(CapexCategory) + (CapexCategory="Other"))&gt;0)   * (AX$4=CapexSalvageMonth)*CapexSalvage)</f>
        <v>0</v>
      </c>
      <c r="AY43" s="226" cm="1">
        <f t="array" ref="AY43">SUMPRODUCT(   ((ISBLANK(CapexCategory) + (CapexCategory="Other"))&gt;0)   * (AY$4=CapexSalvageMonth)*CapexSalvage)</f>
        <v>0</v>
      </c>
      <c r="AZ43" s="226" cm="1">
        <f t="array" ref="AZ43">SUMPRODUCT(   ((ISBLANK(CapexCategory) + (CapexCategory="Other"))&gt;0)   * (AZ$4=CapexSalvageMonth)*CapexSalvage)</f>
        <v>0</v>
      </c>
      <c r="BA43" s="226" cm="1">
        <f t="array" ref="BA43">SUMPRODUCT(   ((ISBLANK(CapexCategory) + (CapexCategory="Other"))&gt;0)   * (BA$4=CapexSalvageMonth)*CapexSalvage)</f>
        <v>0</v>
      </c>
      <c r="BB43" s="226" cm="1">
        <f t="array" ref="BB43">SUMPRODUCT(   ((ISBLANK(CapexCategory) + (CapexCategory="Other"))&gt;0)   * (BB$4=CapexSalvageMonth)*CapexSalvage)</f>
        <v>0</v>
      </c>
      <c r="BC43" s="226" cm="1">
        <f t="array" ref="BC43">SUMPRODUCT(   ((ISBLANK(CapexCategory) + (CapexCategory="Other"))&gt;0)   * (BC$4=CapexSalvageMonth)*CapexSalvage)</f>
        <v>0</v>
      </c>
      <c r="BD43" s="226" cm="1">
        <f t="array" ref="BD43">SUMPRODUCT(   ((ISBLANK(CapexCategory) + (CapexCategory="Other"))&gt;0)   * (BD$4=CapexSalvageMonth)*CapexSalvage)</f>
        <v>0</v>
      </c>
      <c r="BE43" s="226" cm="1">
        <f t="array" ref="BE43">SUMPRODUCT(   ((ISBLANK(CapexCategory) + (CapexCategory="Other"))&gt;0)   * (BE$4=CapexSalvageMonth)*CapexSalvage)</f>
        <v>0</v>
      </c>
      <c r="BF43" s="247" cm="1">
        <f t="array" ref="BF43">SUMPRODUCT(   ((ISBLANK(CapexCategory) + (CapexCategory="Other"))&gt;0)   * (BF$4=CapexSalvageMonth)*CapexSalvage)</f>
        <v>0</v>
      </c>
      <c r="BG43" s="226" cm="1">
        <f t="array" ref="BG43">SUMPRODUCT(   ((ISBLANK(CapexCategory) + (CapexCategory="Other"))&gt;0)   * (BG$4=CapexSalvageMonth)*CapexSalvage)</f>
        <v>0</v>
      </c>
      <c r="BH43" s="226" cm="1">
        <f t="array" ref="BH43">SUMPRODUCT(   ((ISBLANK(CapexCategory) + (CapexCategory="Other"))&gt;0)   * (BH$4=CapexSalvageMonth)*CapexSalvage)</f>
        <v>0</v>
      </c>
      <c r="BI43" s="226" cm="1">
        <f t="array" ref="BI43">SUMPRODUCT(   ((ISBLANK(CapexCategory) + (CapexCategory="Other"))&gt;0)   * (BI$4=CapexSalvageMonth)*CapexSalvage)</f>
        <v>0</v>
      </c>
      <c r="BJ43" s="226" cm="1">
        <f t="array" ref="BJ43">SUMPRODUCT(   ((ISBLANK(CapexCategory) + (CapexCategory="Other"))&gt;0)   * (BJ$4=CapexSalvageMonth)*CapexSalvage)</f>
        <v>0</v>
      </c>
      <c r="BK43" s="226" cm="1">
        <f t="array" ref="BK43">SUMPRODUCT(   ((ISBLANK(CapexCategory) + (CapexCategory="Other"))&gt;0)   * (BK$4=CapexSalvageMonth)*CapexSalvage)</f>
        <v>0</v>
      </c>
      <c r="BL43" s="226" cm="1">
        <f t="array" ref="BL43">SUMPRODUCT(   ((ISBLANK(CapexCategory) + (CapexCategory="Other"))&gt;0)   * (BL$4=CapexSalvageMonth)*CapexSalvage)</f>
        <v>0</v>
      </c>
      <c r="BM43" s="226" cm="1">
        <f t="array" ref="BM43">SUMPRODUCT(   ((ISBLANK(CapexCategory) + (CapexCategory="Other"))&gt;0)   * (BM$4=CapexSalvageMonth)*CapexSalvage)</f>
        <v>0</v>
      </c>
      <c r="BN43" s="226" cm="1">
        <f t="array" ref="BN43">SUMPRODUCT(   ((ISBLANK(CapexCategory) + (CapexCategory="Other"))&gt;0)   * (BN$4=CapexSalvageMonth)*CapexSalvage)</f>
        <v>0</v>
      </c>
      <c r="BO43" s="226" cm="1">
        <f t="array" ref="BO43">SUMPRODUCT(   ((ISBLANK(CapexCategory) + (CapexCategory="Other"))&gt;0)   * (BO$4=CapexSalvageMonth)*CapexSalvage)</f>
        <v>0</v>
      </c>
      <c r="BP43" s="226" cm="1">
        <f t="array" ref="BP43">SUMPRODUCT(   ((ISBLANK(CapexCategory) + (CapexCategory="Other"))&gt;0)   * (BP$4=CapexSalvageMonth)*CapexSalvage)</f>
        <v>0</v>
      </c>
      <c r="BQ43" s="226" cm="1">
        <f t="array" ref="BQ43">SUMPRODUCT(   ((ISBLANK(CapexCategory) + (CapexCategory="Other"))&gt;0)   * (BQ$4=CapexSalvageMonth)*CapexSalvage)</f>
        <v>0</v>
      </c>
      <c r="BR43" s="247" cm="1">
        <f t="array" ref="BR43">SUMPRODUCT(   ((ISBLANK(CapexCategory) + (CapexCategory="Other"))&gt;0)   * (BR$4=CapexSalvageMonth)*CapexSalvage)</f>
        <v>0</v>
      </c>
    </row>
    <row r="44" spans="1:70" s="175" customFormat="1" ht="13.2" x14ac:dyDescent="0.3">
      <c r="A44" s="40"/>
      <c r="B44" s="13"/>
      <c r="C44" s="175" t="s">
        <v>226</v>
      </c>
      <c r="D44" s="199"/>
      <c r="E44" s="222">
        <f t="shared" si="34"/>
        <v>18</v>
      </c>
      <c r="F44" s="222">
        <f t="shared" si="35"/>
        <v>0</v>
      </c>
      <c r="G44" s="222">
        <f t="shared" si="36"/>
        <v>0</v>
      </c>
      <c r="H44" s="222">
        <f t="shared" si="37"/>
        <v>0</v>
      </c>
      <c r="I44" s="222">
        <f t="shared" si="38"/>
        <v>60</v>
      </c>
      <c r="J44" s="264"/>
      <c r="K44" s="268">
        <f>SUM(K38:K43)</f>
        <v>0</v>
      </c>
      <c r="L44" s="268">
        <f t="shared" ref="L44:BR44" si="39">SUM(L38:L43)</f>
        <v>0</v>
      </c>
      <c r="M44" s="268">
        <f t="shared" si="39"/>
        <v>0</v>
      </c>
      <c r="N44" s="268">
        <f t="shared" si="39"/>
        <v>0</v>
      </c>
      <c r="O44" s="268">
        <f t="shared" si="39"/>
        <v>0</v>
      </c>
      <c r="P44" s="268">
        <f t="shared" si="39"/>
        <v>0</v>
      </c>
      <c r="Q44" s="268">
        <f t="shared" si="39"/>
        <v>0</v>
      </c>
      <c r="R44" s="268">
        <f t="shared" si="39"/>
        <v>0</v>
      </c>
      <c r="S44" s="268">
        <f t="shared" si="39"/>
        <v>0</v>
      </c>
      <c r="T44" s="268">
        <f t="shared" si="39"/>
        <v>0</v>
      </c>
      <c r="U44" s="268">
        <f t="shared" si="39"/>
        <v>0</v>
      </c>
      <c r="V44" s="222">
        <f>SUM(V38:V43)</f>
        <v>18</v>
      </c>
      <c r="W44" s="268">
        <f t="shared" si="39"/>
        <v>0</v>
      </c>
      <c r="X44" s="268">
        <f t="shared" si="39"/>
        <v>0</v>
      </c>
      <c r="Y44" s="268">
        <f t="shared" si="39"/>
        <v>0</v>
      </c>
      <c r="Z44" s="268">
        <f t="shared" si="39"/>
        <v>0</v>
      </c>
      <c r="AA44" s="268">
        <f t="shared" si="39"/>
        <v>0</v>
      </c>
      <c r="AB44" s="268">
        <f t="shared" si="39"/>
        <v>0</v>
      </c>
      <c r="AC44" s="268">
        <f t="shared" si="39"/>
        <v>0</v>
      </c>
      <c r="AD44" s="268">
        <f t="shared" si="39"/>
        <v>0</v>
      </c>
      <c r="AE44" s="268">
        <f t="shared" si="39"/>
        <v>0</v>
      </c>
      <c r="AF44" s="268">
        <f t="shared" si="39"/>
        <v>0</v>
      </c>
      <c r="AG44" s="268">
        <f t="shared" si="39"/>
        <v>0</v>
      </c>
      <c r="AH44" s="222">
        <f t="shared" si="39"/>
        <v>0</v>
      </c>
      <c r="AI44" s="268">
        <f t="shared" si="39"/>
        <v>0</v>
      </c>
      <c r="AJ44" s="268">
        <f t="shared" si="39"/>
        <v>0</v>
      </c>
      <c r="AK44" s="268">
        <f t="shared" si="39"/>
        <v>0</v>
      </c>
      <c r="AL44" s="268">
        <f t="shared" si="39"/>
        <v>0</v>
      </c>
      <c r="AM44" s="268">
        <f t="shared" si="39"/>
        <v>0</v>
      </c>
      <c r="AN44" s="268">
        <f t="shared" si="39"/>
        <v>0</v>
      </c>
      <c r="AO44" s="268">
        <f t="shared" si="39"/>
        <v>0</v>
      </c>
      <c r="AP44" s="268">
        <f t="shared" si="39"/>
        <v>0</v>
      </c>
      <c r="AQ44" s="268">
        <f t="shared" si="39"/>
        <v>0</v>
      </c>
      <c r="AR44" s="268">
        <f t="shared" si="39"/>
        <v>0</v>
      </c>
      <c r="AS44" s="268">
        <f t="shared" si="39"/>
        <v>0</v>
      </c>
      <c r="AT44" s="222">
        <f t="shared" si="39"/>
        <v>0</v>
      </c>
      <c r="AU44" s="268">
        <f t="shared" si="39"/>
        <v>0</v>
      </c>
      <c r="AV44" s="268">
        <f t="shared" si="39"/>
        <v>0</v>
      </c>
      <c r="AW44" s="268">
        <f t="shared" si="39"/>
        <v>0</v>
      </c>
      <c r="AX44" s="268">
        <f t="shared" si="39"/>
        <v>0</v>
      </c>
      <c r="AY44" s="268">
        <f t="shared" si="39"/>
        <v>0</v>
      </c>
      <c r="AZ44" s="268">
        <f t="shared" si="39"/>
        <v>0</v>
      </c>
      <c r="BA44" s="268">
        <f t="shared" si="39"/>
        <v>0</v>
      </c>
      <c r="BB44" s="268">
        <f t="shared" si="39"/>
        <v>0</v>
      </c>
      <c r="BC44" s="268">
        <f t="shared" si="39"/>
        <v>0</v>
      </c>
      <c r="BD44" s="268">
        <f t="shared" si="39"/>
        <v>0</v>
      </c>
      <c r="BE44" s="268">
        <f t="shared" si="39"/>
        <v>0</v>
      </c>
      <c r="BF44" s="222">
        <f t="shared" si="39"/>
        <v>0</v>
      </c>
      <c r="BG44" s="268">
        <f t="shared" si="39"/>
        <v>0</v>
      </c>
      <c r="BH44" s="268">
        <f t="shared" si="39"/>
        <v>0</v>
      </c>
      <c r="BI44" s="268">
        <f t="shared" si="39"/>
        <v>0</v>
      </c>
      <c r="BJ44" s="268">
        <f t="shared" si="39"/>
        <v>0</v>
      </c>
      <c r="BK44" s="268">
        <f t="shared" si="39"/>
        <v>0</v>
      </c>
      <c r="BL44" s="268">
        <f t="shared" si="39"/>
        <v>0</v>
      </c>
      <c r="BM44" s="268">
        <f t="shared" si="39"/>
        <v>15</v>
      </c>
      <c r="BN44" s="268">
        <f t="shared" si="39"/>
        <v>0</v>
      </c>
      <c r="BO44" s="268">
        <f t="shared" si="39"/>
        <v>0</v>
      </c>
      <c r="BP44" s="268">
        <f t="shared" si="39"/>
        <v>45</v>
      </c>
      <c r="BQ44" s="268">
        <f t="shared" si="39"/>
        <v>0</v>
      </c>
      <c r="BR44" s="222">
        <f t="shared" si="39"/>
        <v>0</v>
      </c>
    </row>
    <row r="45" spans="1:70" ht="13.2" hidden="1" x14ac:dyDescent="0.3">
      <c r="E45" s="248"/>
      <c r="F45" s="248"/>
      <c r="G45" s="248"/>
      <c r="H45" s="248"/>
      <c r="I45" s="248"/>
      <c r="J45" s="264"/>
      <c r="K45" s="248"/>
      <c r="L45" s="248"/>
      <c r="M45" s="248"/>
      <c r="N45" s="248"/>
      <c r="O45" s="248"/>
      <c r="P45" s="248"/>
      <c r="Q45" s="248"/>
      <c r="R45" s="248"/>
      <c r="S45" s="248"/>
      <c r="T45" s="248"/>
      <c r="U45" s="248"/>
      <c r="V45" s="248"/>
      <c r="W45" s="248"/>
      <c r="X45" s="248"/>
      <c r="Y45" s="248"/>
      <c r="Z45" s="248"/>
      <c r="AA45" s="248"/>
      <c r="AB45" s="248"/>
      <c r="AC45" s="248"/>
      <c r="AD45" s="248"/>
      <c r="AE45" s="248"/>
      <c r="AF45" s="248"/>
      <c r="AG45" s="248"/>
      <c r="AH45" s="248"/>
      <c r="AI45" s="248"/>
      <c r="AJ45" s="248"/>
      <c r="AK45" s="248"/>
      <c r="AL45" s="248"/>
      <c r="AM45" s="248"/>
      <c r="AN45" s="248"/>
      <c r="AO45" s="248"/>
      <c r="AP45" s="248"/>
      <c r="AQ45" s="248"/>
      <c r="AR45" s="248"/>
      <c r="AS45" s="248"/>
      <c r="AT45" s="248"/>
      <c r="AU45" s="248"/>
      <c r="AV45" s="248"/>
      <c r="AW45" s="248"/>
      <c r="AX45" s="248"/>
      <c r="AY45" s="248"/>
      <c r="AZ45" s="248"/>
      <c r="BA45" s="248"/>
      <c r="BB45" s="248"/>
      <c r="BC45" s="248"/>
      <c r="BD45" s="248"/>
      <c r="BE45" s="248"/>
      <c r="BF45" s="248"/>
      <c r="BG45" s="248"/>
      <c r="BH45" s="248"/>
      <c r="BI45" s="248"/>
      <c r="BJ45" s="248"/>
      <c r="BK45" s="248"/>
      <c r="BL45" s="248"/>
      <c r="BM45" s="248"/>
      <c r="BN45" s="248"/>
      <c r="BO45" s="248"/>
      <c r="BP45" s="248"/>
      <c r="BQ45" s="248"/>
      <c r="BR45" s="248"/>
    </row>
    <row r="46" spans="1:70" ht="13.2" hidden="1" x14ac:dyDescent="0.3">
      <c r="C46" s="185" t="s">
        <v>219</v>
      </c>
      <c r="D46" s="14"/>
      <c r="E46" s="263">
        <f t="shared" ref="E46:E52" si="40">SUM(K46:V46)</f>
        <v>0</v>
      </c>
      <c r="F46" s="263">
        <f t="shared" ref="F46:F52" si="41">SUM(W46:AH46)</f>
        <v>0</v>
      </c>
      <c r="G46" s="263">
        <f t="shared" ref="G46:G52" si="42">SUM(AI46:AT46)</f>
        <v>0</v>
      </c>
      <c r="H46" s="263">
        <f t="shared" ref="H46:H52" si="43">SUM(AU46:BF46)</f>
        <v>0</v>
      </c>
      <c r="I46" s="263">
        <f t="shared" ref="I46:I52" si="44">SUM(BG46:BR46)</f>
        <v>0</v>
      </c>
      <c r="J46" s="264"/>
      <c r="K46" s="265" cm="1">
        <f t="array" ref="K46">SUMPRODUCT(($C46=CapexCategory)*(K$4=CapexSalvageMonth)*SalGain)</f>
        <v>0</v>
      </c>
      <c r="L46" s="265" cm="1">
        <f t="array" ref="L46">SUMPRODUCT(($C46=CapexCategory)*(L$4=CapexSalvageMonth)*SalGain)</f>
        <v>0</v>
      </c>
      <c r="M46" s="265" cm="1">
        <f t="array" ref="M46">SUMPRODUCT(($C46=CapexCategory)*(M$4=CapexSalvageMonth)*SalGain)</f>
        <v>0</v>
      </c>
      <c r="N46" s="265" cm="1">
        <f t="array" ref="N46">SUMPRODUCT(($C46=CapexCategory)*(N$4=CapexSalvageMonth)*SalGain)</f>
        <v>0</v>
      </c>
      <c r="O46" s="265" cm="1">
        <f t="array" ref="O46">SUMPRODUCT(($C46=CapexCategory)*(O$4=CapexSalvageMonth)*SalGain)</f>
        <v>0</v>
      </c>
      <c r="P46" s="265" cm="1">
        <f t="array" ref="P46">SUMPRODUCT(($C46=CapexCategory)*(P$4=CapexSalvageMonth)*SalGain)</f>
        <v>0</v>
      </c>
      <c r="Q46" s="265" cm="1">
        <f t="array" ref="Q46">SUMPRODUCT(($C46=CapexCategory)*(Q$4=CapexSalvageMonth)*SalGain)</f>
        <v>0</v>
      </c>
      <c r="R46" s="265" cm="1">
        <f t="array" ref="R46">SUMPRODUCT(($C46=CapexCategory)*(R$4=CapexSalvageMonth)*SalGain)</f>
        <v>0</v>
      </c>
      <c r="S46" s="265" cm="1">
        <f t="array" ref="S46">SUMPRODUCT(($C46=CapexCategory)*(S$4=CapexSalvageMonth)*SalGain)</f>
        <v>0</v>
      </c>
      <c r="T46" s="265" cm="1">
        <f t="array" ref="T46">SUMPRODUCT(($C46=CapexCategory)*(T$4=CapexSalvageMonth)*SalGain)</f>
        <v>0</v>
      </c>
      <c r="U46" s="265" cm="1">
        <f t="array" ref="U46">SUMPRODUCT(($C46=CapexCategory)*(U$4=CapexSalvageMonth)*SalGain)</f>
        <v>0</v>
      </c>
      <c r="V46" s="263" cm="1">
        <f t="array" ref="V46">SUMPRODUCT(($C46=CapexCategory)*(V$4=CapexSalvageMonth)*SalGain)</f>
        <v>0</v>
      </c>
      <c r="W46" s="265" cm="1">
        <f t="array" ref="W46">SUMPRODUCT(($C46=CapexCategory)*(W$4=CapexSalvageMonth)*SalGain)</f>
        <v>0</v>
      </c>
      <c r="X46" s="265" cm="1">
        <f t="array" ref="X46">SUMPRODUCT(($C46=CapexCategory)*(X$4=CapexSalvageMonth)*SalGain)</f>
        <v>0</v>
      </c>
      <c r="Y46" s="265" cm="1">
        <f t="array" ref="Y46">SUMPRODUCT(($C46=CapexCategory)*(Y$4=CapexSalvageMonth)*SalGain)</f>
        <v>0</v>
      </c>
      <c r="Z46" s="265" cm="1">
        <f t="array" ref="Z46">SUMPRODUCT(($C46=CapexCategory)*(Z$4=CapexSalvageMonth)*SalGain)</f>
        <v>0</v>
      </c>
      <c r="AA46" s="265" cm="1">
        <f t="array" ref="AA46">SUMPRODUCT(($C46=CapexCategory)*(AA$4=CapexSalvageMonth)*SalGain)</f>
        <v>0</v>
      </c>
      <c r="AB46" s="265" cm="1">
        <f t="array" ref="AB46">SUMPRODUCT(($C46=CapexCategory)*(AB$4=CapexSalvageMonth)*SalGain)</f>
        <v>0</v>
      </c>
      <c r="AC46" s="265" cm="1">
        <f t="array" ref="AC46">SUMPRODUCT(($C46=CapexCategory)*(AC$4=CapexSalvageMonth)*SalGain)</f>
        <v>0</v>
      </c>
      <c r="AD46" s="265" cm="1">
        <f t="array" ref="AD46">SUMPRODUCT(($C46=CapexCategory)*(AD$4=CapexSalvageMonth)*SalGain)</f>
        <v>0</v>
      </c>
      <c r="AE46" s="265" cm="1">
        <f t="array" ref="AE46">SUMPRODUCT(($C46=CapexCategory)*(AE$4=CapexSalvageMonth)*SalGain)</f>
        <v>0</v>
      </c>
      <c r="AF46" s="265" cm="1">
        <f t="array" ref="AF46">SUMPRODUCT(($C46=CapexCategory)*(AF$4=CapexSalvageMonth)*SalGain)</f>
        <v>0</v>
      </c>
      <c r="AG46" s="265" cm="1">
        <f t="array" ref="AG46">SUMPRODUCT(($C46=CapexCategory)*(AG$4=CapexSalvageMonth)*SalGain)</f>
        <v>0</v>
      </c>
      <c r="AH46" s="263" cm="1">
        <f t="array" ref="AH46">SUMPRODUCT(($C46=CapexCategory)*(AH$4=CapexSalvageMonth)*SalGain)</f>
        <v>0</v>
      </c>
      <c r="AI46" s="265" cm="1">
        <f t="array" ref="AI46">SUMPRODUCT(($C46=CapexCategory)*(AI$4=CapexSalvageMonth)*SalGain)</f>
        <v>0</v>
      </c>
      <c r="AJ46" s="265" cm="1">
        <f t="array" ref="AJ46">SUMPRODUCT(($C46=CapexCategory)*(AJ$4=CapexSalvageMonth)*SalGain)</f>
        <v>0</v>
      </c>
      <c r="AK46" s="265" cm="1">
        <f t="array" ref="AK46">SUMPRODUCT(($C46=CapexCategory)*(AK$4=CapexSalvageMonth)*SalGain)</f>
        <v>0</v>
      </c>
      <c r="AL46" s="265" cm="1">
        <f t="array" ref="AL46">SUMPRODUCT(($C46=CapexCategory)*(AL$4=CapexSalvageMonth)*SalGain)</f>
        <v>0</v>
      </c>
      <c r="AM46" s="265" cm="1">
        <f t="array" ref="AM46">SUMPRODUCT(($C46=CapexCategory)*(AM$4=CapexSalvageMonth)*SalGain)</f>
        <v>0</v>
      </c>
      <c r="AN46" s="265" cm="1">
        <f t="array" ref="AN46">SUMPRODUCT(($C46=CapexCategory)*(AN$4=CapexSalvageMonth)*SalGain)</f>
        <v>0</v>
      </c>
      <c r="AO46" s="265" cm="1">
        <f t="array" ref="AO46">SUMPRODUCT(($C46=CapexCategory)*(AO$4=CapexSalvageMonth)*SalGain)</f>
        <v>0</v>
      </c>
      <c r="AP46" s="265" cm="1">
        <f t="array" ref="AP46">SUMPRODUCT(($C46=CapexCategory)*(AP$4=CapexSalvageMonth)*SalGain)</f>
        <v>0</v>
      </c>
      <c r="AQ46" s="265" cm="1">
        <f t="array" ref="AQ46">SUMPRODUCT(($C46=CapexCategory)*(AQ$4=CapexSalvageMonth)*SalGain)</f>
        <v>0</v>
      </c>
      <c r="AR46" s="265" cm="1">
        <f t="array" ref="AR46">SUMPRODUCT(($C46=CapexCategory)*(AR$4=CapexSalvageMonth)*SalGain)</f>
        <v>0</v>
      </c>
      <c r="AS46" s="265" cm="1">
        <f t="array" ref="AS46">SUMPRODUCT(($C46=CapexCategory)*(AS$4=CapexSalvageMonth)*SalGain)</f>
        <v>0</v>
      </c>
      <c r="AT46" s="263" cm="1">
        <f t="array" ref="AT46">SUMPRODUCT(($C46=CapexCategory)*(AT$4=CapexSalvageMonth)*SalGain)</f>
        <v>0</v>
      </c>
      <c r="AU46" s="265" cm="1">
        <f t="array" ref="AU46">SUMPRODUCT(($C46=CapexCategory)*(AU$4=CapexSalvageMonth)*SalGain)</f>
        <v>0</v>
      </c>
      <c r="AV46" s="265" cm="1">
        <f t="array" ref="AV46">SUMPRODUCT(($C46=CapexCategory)*(AV$4=CapexSalvageMonth)*SalGain)</f>
        <v>0</v>
      </c>
      <c r="AW46" s="265" cm="1">
        <f t="array" ref="AW46">SUMPRODUCT(($C46=CapexCategory)*(AW$4=CapexSalvageMonth)*SalGain)</f>
        <v>0</v>
      </c>
      <c r="AX46" s="265" cm="1">
        <f t="array" ref="AX46">SUMPRODUCT(($C46=CapexCategory)*(AX$4=CapexSalvageMonth)*SalGain)</f>
        <v>0</v>
      </c>
      <c r="AY46" s="265" cm="1">
        <f t="array" ref="AY46">SUMPRODUCT(($C46=CapexCategory)*(AY$4=CapexSalvageMonth)*SalGain)</f>
        <v>0</v>
      </c>
      <c r="AZ46" s="265" cm="1">
        <f t="array" ref="AZ46">SUMPRODUCT(($C46=CapexCategory)*(AZ$4=CapexSalvageMonth)*SalGain)</f>
        <v>0</v>
      </c>
      <c r="BA46" s="265" cm="1">
        <f t="array" ref="BA46">SUMPRODUCT(($C46=CapexCategory)*(BA$4=CapexSalvageMonth)*SalGain)</f>
        <v>0</v>
      </c>
      <c r="BB46" s="265" cm="1">
        <f t="array" ref="BB46">SUMPRODUCT(($C46=CapexCategory)*(BB$4=CapexSalvageMonth)*SalGain)</f>
        <v>0</v>
      </c>
      <c r="BC46" s="265" cm="1">
        <f t="array" ref="BC46">SUMPRODUCT(($C46=CapexCategory)*(BC$4=CapexSalvageMonth)*SalGain)</f>
        <v>0</v>
      </c>
      <c r="BD46" s="265" cm="1">
        <f t="array" ref="BD46">SUMPRODUCT(($C46=CapexCategory)*(BD$4=CapexSalvageMonth)*SalGain)</f>
        <v>0</v>
      </c>
      <c r="BE46" s="265" cm="1">
        <f t="array" ref="BE46">SUMPRODUCT(($C46=CapexCategory)*(BE$4=CapexSalvageMonth)*SalGain)</f>
        <v>0</v>
      </c>
      <c r="BF46" s="263" cm="1">
        <f t="array" ref="BF46">SUMPRODUCT(($C46=CapexCategory)*(BF$4=CapexSalvageMonth)*SalGain)</f>
        <v>0</v>
      </c>
      <c r="BG46" s="265" cm="1">
        <f t="array" ref="BG46">SUMPRODUCT(($C46=CapexCategory)*(BG$4=CapexSalvageMonth)*SalGain)</f>
        <v>0</v>
      </c>
      <c r="BH46" s="265" cm="1">
        <f t="array" ref="BH46">SUMPRODUCT(($C46=CapexCategory)*(BH$4=CapexSalvageMonth)*SalGain)</f>
        <v>0</v>
      </c>
      <c r="BI46" s="265" cm="1">
        <f t="array" ref="BI46">SUMPRODUCT(($C46=CapexCategory)*(BI$4=CapexSalvageMonth)*SalGain)</f>
        <v>0</v>
      </c>
      <c r="BJ46" s="265" cm="1">
        <f t="array" ref="BJ46">SUMPRODUCT(($C46=CapexCategory)*(BJ$4=CapexSalvageMonth)*SalGain)</f>
        <v>0</v>
      </c>
      <c r="BK46" s="265" cm="1">
        <f t="array" ref="BK46">SUMPRODUCT(($C46=CapexCategory)*(BK$4=CapexSalvageMonth)*SalGain)</f>
        <v>0</v>
      </c>
      <c r="BL46" s="265" cm="1">
        <f t="array" ref="BL46">SUMPRODUCT(($C46=CapexCategory)*(BL$4=CapexSalvageMonth)*SalGain)</f>
        <v>0</v>
      </c>
      <c r="BM46" s="265" cm="1">
        <f t="array" ref="BM46">SUMPRODUCT(($C46=CapexCategory)*(BM$4=CapexSalvageMonth)*SalGain)</f>
        <v>0</v>
      </c>
      <c r="BN46" s="265" cm="1">
        <f t="array" ref="BN46">SUMPRODUCT(($C46=CapexCategory)*(BN$4=CapexSalvageMonth)*SalGain)</f>
        <v>0</v>
      </c>
      <c r="BO46" s="265" cm="1">
        <f t="array" ref="BO46">SUMPRODUCT(($C46=CapexCategory)*(BO$4=CapexSalvageMonth)*SalGain)</f>
        <v>0</v>
      </c>
      <c r="BP46" s="265" cm="1">
        <f t="array" ref="BP46">SUMPRODUCT(($C46=CapexCategory)*(BP$4=CapexSalvageMonth)*SalGain)</f>
        <v>0</v>
      </c>
      <c r="BQ46" s="265" cm="1">
        <f t="array" ref="BQ46">SUMPRODUCT(($C46=CapexCategory)*(BQ$4=CapexSalvageMonth)*SalGain)</f>
        <v>0</v>
      </c>
      <c r="BR46" s="263" cm="1">
        <f t="array" ref="BR46">SUMPRODUCT(($C46=CapexCategory)*(BR$4=CapexSalvageMonth)*SalGain)</f>
        <v>0</v>
      </c>
    </row>
    <row r="47" spans="1:70" ht="13.2" hidden="1" x14ac:dyDescent="0.3">
      <c r="C47" s="185" t="s">
        <v>220</v>
      </c>
      <c r="D47" s="14"/>
      <c r="E47" s="263">
        <f t="shared" si="40"/>
        <v>0</v>
      </c>
      <c r="F47" s="263">
        <f t="shared" si="41"/>
        <v>0</v>
      </c>
      <c r="G47" s="263">
        <f t="shared" si="42"/>
        <v>0</v>
      </c>
      <c r="H47" s="263">
        <f t="shared" si="43"/>
        <v>0</v>
      </c>
      <c r="I47" s="263">
        <f t="shared" si="44"/>
        <v>15</v>
      </c>
      <c r="J47" s="264"/>
      <c r="K47" s="265" cm="1">
        <f t="array" ref="K47">SUMPRODUCT(($C47=CapexCategory)*(K$4=CapexSalvageMonth)*SalGain)</f>
        <v>0</v>
      </c>
      <c r="L47" s="265" cm="1">
        <f t="array" ref="L47">SUMPRODUCT(($C47=CapexCategory)*(L$4=CapexSalvageMonth)*SalGain)</f>
        <v>0</v>
      </c>
      <c r="M47" s="265" cm="1">
        <f t="array" ref="M47">SUMPRODUCT(($C47=CapexCategory)*(M$4=CapexSalvageMonth)*SalGain)</f>
        <v>0</v>
      </c>
      <c r="N47" s="265" cm="1">
        <f t="array" ref="N47">SUMPRODUCT(($C47=CapexCategory)*(N$4=CapexSalvageMonth)*SalGain)</f>
        <v>0</v>
      </c>
      <c r="O47" s="265" cm="1">
        <f t="array" ref="O47">SUMPRODUCT(($C47=CapexCategory)*(O$4=CapexSalvageMonth)*SalGain)</f>
        <v>0</v>
      </c>
      <c r="P47" s="265" cm="1">
        <f t="array" ref="P47">SUMPRODUCT(($C47=CapexCategory)*(P$4=CapexSalvageMonth)*SalGain)</f>
        <v>0</v>
      </c>
      <c r="Q47" s="265" cm="1">
        <f t="array" ref="Q47">SUMPRODUCT(($C47=CapexCategory)*(Q$4=CapexSalvageMonth)*SalGain)</f>
        <v>0</v>
      </c>
      <c r="R47" s="265" cm="1">
        <f t="array" ref="R47">SUMPRODUCT(($C47=CapexCategory)*(R$4=CapexSalvageMonth)*SalGain)</f>
        <v>0</v>
      </c>
      <c r="S47" s="265" cm="1">
        <f t="array" ref="S47">SUMPRODUCT(($C47=CapexCategory)*(S$4=CapexSalvageMonth)*SalGain)</f>
        <v>0</v>
      </c>
      <c r="T47" s="265" cm="1">
        <f t="array" ref="T47">SUMPRODUCT(($C47=CapexCategory)*(T$4=CapexSalvageMonth)*SalGain)</f>
        <v>0</v>
      </c>
      <c r="U47" s="265" cm="1">
        <f t="array" ref="U47">SUMPRODUCT(($C47=CapexCategory)*(U$4=CapexSalvageMonth)*SalGain)</f>
        <v>0</v>
      </c>
      <c r="V47" s="263" cm="1">
        <f t="array" ref="V47">SUMPRODUCT(($C47=CapexCategory)*(V$4=CapexSalvageMonth)*SalGain)</f>
        <v>0</v>
      </c>
      <c r="W47" s="265" cm="1">
        <f t="array" ref="W47">SUMPRODUCT(($C47=CapexCategory)*(W$4=CapexSalvageMonth)*SalGain)</f>
        <v>0</v>
      </c>
      <c r="X47" s="265" cm="1">
        <f t="array" ref="X47">SUMPRODUCT(($C47=CapexCategory)*(X$4=CapexSalvageMonth)*SalGain)</f>
        <v>0</v>
      </c>
      <c r="Y47" s="265" cm="1">
        <f t="array" ref="Y47">SUMPRODUCT(($C47=CapexCategory)*(Y$4=CapexSalvageMonth)*SalGain)</f>
        <v>0</v>
      </c>
      <c r="Z47" s="265" cm="1">
        <f t="array" ref="Z47">SUMPRODUCT(($C47=CapexCategory)*(Z$4=CapexSalvageMonth)*SalGain)</f>
        <v>0</v>
      </c>
      <c r="AA47" s="265" cm="1">
        <f t="array" ref="AA47">SUMPRODUCT(($C47=CapexCategory)*(AA$4=CapexSalvageMonth)*SalGain)</f>
        <v>0</v>
      </c>
      <c r="AB47" s="265" cm="1">
        <f t="array" ref="AB47">SUMPRODUCT(($C47=CapexCategory)*(AB$4=CapexSalvageMonth)*SalGain)</f>
        <v>0</v>
      </c>
      <c r="AC47" s="265" cm="1">
        <f t="array" ref="AC47">SUMPRODUCT(($C47=CapexCategory)*(AC$4=CapexSalvageMonth)*SalGain)</f>
        <v>0</v>
      </c>
      <c r="AD47" s="265" cm="1">
        <f t="array" ref="AD47">SUMPRODUCT(($C47=CapexCategory)*(AD$4=CapexSalvageMonth)*SalGain)</f>
        <v>0</v>
      </c>
      <c r="AE47" s="265" cm="1">
        <f t="array" ref="AE47">SUMPRODUCT(($C47=CapexCategory)*(AE$4=CapexSalvageMonth)*SalGain)</f>
        <v>0</v>
      </c>
      <c r="AF47" s="265" cm="1">
        <f t="array" ref="AF47">SUMPRODUCT(($C47=CapexCategory)*(AF$4=CapexSalvageMonth)*SalGain)</f>
        <v>0</v>
      </c>
      <c r="AG47" s="265" cm="1">
        <f t="array" ref="AG47">SUMPRODUCT(($C47=CapexCategory)*(AG$4=CapexSalvageMonth)*SalGain)</f>
        <v>0</v>
      </c>
      <c r="AH47" s="263" cm="1">
        <f t="array" ref="AH47">SUMPRODUCT(($C47=CapexCategory)*(AH$4=CapexSalvageMonth)*SalGain)</f>
        <v>0</v>
      </c>
      <c r="AI47" s="265" cm="1">
        <f t="array" ref="AI47">SUMPRODUCT(($C47=CapexCategory)*(AI$4=CapexSalvageMonth)*SalGain)</f>
        <v>0</v>
      </c>
      <c r="AJ47" s="265" cm="1">
        <f t="array" ref="AJ47">SUMPRODUCT(($C47=CapexCategory)*(AJ$4=CapexSalvageMonth)*SalGain)</f>
        <v>0</v>
      </c>
      <c r="AK47" s="265" cm="1">
        <f t="array" ref="AK47">SUMPRODUCT(($C47=CapexCategory)*(AK$4=CapexSalvageMonth)*SalGain)</f>
        <v>0</v>
      </c>
      <c r="AL47" s="265" cm="1">
        <f t="array" ref="AL47">SUMPRODUCT(($C47=CapexCategory)*(AL$4=CapexSalvageMonth)*SalGain)</f>
        <v>0</v>
      </c>
      <c r="AM47" s="265" cm="1">
        <f t="array" ref="AM47">SUMPRODUCT(($C47=CapexCategory)*(AM$4=CapexSalvageMonth)*SalGain)</f>
        <v>0</v>
      </c>
      <c r="AN47" s="265" cm="1">
        <f t="array" ref="AN47">SUMPRODUCT(($C47=CapexCategory)*(AN$4=CapexSalvageMonth)*SalGain)</f>
        <v>0</v>
      </c>
      <c r="AO47" s="265" cm="1">
        <f t="array" ref="AO47">SUMPRODUCT(($C47=CapexCategory)*(AO$4=CapexSalvageMonth)*SalGain)</f>
        <v>0</v>
      </c>
      <c r="AP47" s="265" cm="1">
        <f t="array" ref="AP47">SUMPRODUCT(($C47=CapexCategory)*(AP$4=CapexSalvageMonth)*SalGain)</f>
        <v>0</v>
      </c>
      <c r="AQ47" s="265" cm="1">
        <f t="array" ref="AQ47">SUMPRODUCT(($C47=CapexCategory)*(AQ$4=CapexSalvageMonth)*SalGain)</f>
        <v>0</v>
      </c>
      <c r="AR47" s="265" cm="1">
        <f t="array" ref="AR47">SUMPRODUCT(($C47=CapexCategory)*(AR$4=CapexSalvageMonth)*SalGain)</f>
        <v>0</v>
      </c>
      <c r="AS47" s="265" cm="1">
        <f t="array" ref="AS47">SUMPRODUCT(($C47=CapexCategory)*(AS$4=CapexSalvageMonth)*SalGain)</f>
        <v>0</v>
      </c>
      <c r="AT47" s="263" cm="1">
        <f t="array" ref="AT47">SUMPRODUCT(($C47=CapexCategory)*(AT$4=CapexSalvageMonth)*SalGain)</f>
        <v>0</v>
      </c>
      <c r="AU47" s="265" cm="1">
        <f t="array" ref="AU47">SUMPRODUCT(($C47=CapexCategory)*(AU$4=CapexSalvageMonth)*SalGain)</f>
        <v>0</v>
      </c>
      <c r="AV47" s="265" cm="1">
        <f t="array" ref="AV47">SUMPRODUCT(($C47=CapexCategory)*(AV$4=CapexSalvageMonth)*SalGain)</f>
        <v>0</v>
      </c>
      <c r="AW47" s="265" cm="1">
        <f t="array" ref="AW47">SUMPRODUCT(($C47=CapexCategory)*(AW$4=CapexSalvageMonth)*SalGain)</f>
        <v>0</v>
      </c>
      <c r="AX47" s="265" cm="1">
        <f t="array" ref="AX47">SUMPRODUCT(($C47=CapexCategory)*(AX$4=CapexSalvageMonth)*SalGain)</f>
        <v>0</v>
      </c>
      <c r="AY47" s="265" cm="1">
        <f t="array" ref="AY47">SUMPRODUCT(($C47=CapexCategory)*(AY$4=CapexSalvageMonth)*SalGain)</f>
        <v>0</v>
      </c>
      <c r="AZ47" s="265" cm="1">
        <f t="array" ref="AZ47">SUMPRODUCT(($C47=CapexCategory)*(AZ$4=CapexSalvageMonth)*SalGain)</f>
        <v>0</v>
      </c>
      <c r="BA47" s="265" cm="1">
        <f t="array" ref="BA47">SUMPRODUCT(($C47=CapexCategory)*(BA$4=CapexSalvageMonth)*SalGain)</f>
        <v>0</v>
      </c>
      <c r="BB47" s="265" cm="1">
        <f t="array" ref="BB47">SUMPRODUCT(($C47=CapexCategory)*(BB$4=CapexSalvageMonth)*SalGain)</f>
        <v>0</v>
      </c>
      <c r="BC47" s="265" cm="1">
        <f t="array" ref="BC47">SUMPRODUCT(($C47=CapexCategory)*(BC$4=CapexSalvageMonth)*SalGain)</f>
        <v>0</v>
      </c>
      <c r="BD47" s="265" cm="1">
        <f t="array" ref="BD47">SUMPRODUCT(($C47=CapexCategory)*(BD$4=CapexSalvageMonth)*SalGain)</f>
        <v>0</v>
      </c>
      <c r="BE47" s="265" cm="1">
        <f t="array" ref="BE47">SUMPRODUCT(($C47=CapexCategory)*(BE$4=CapexSalvageMonth)*SalGain)</f>
        <v>0</v>
      </c>
      <c r="BF47" s="263" cm="1">
        <f t="array" ref="BF47">SUMPRODUCT(($C47=CapexCategory)*(BF$4=CapexSalvageMonth)*SalGain)</f>
        <v>0</v>
      </c>
      <c r="BG47" s="265" cm="1">
        <f t="array" ref="BG47">SUMPRODUCT(($C47=CapexCategory)*(BG$4=CapexSalvageMonth)*SalGain)</f>
        <v>0</v>
      </c>
      <c r="BH47" s="265" cm="1">
        <f t="array" ref="BH47">SUMPRODUCT(($C47=CapexCategory)*(BH$4=CapexSalvageMonth)*SalGain)</f>
        <v>0</v>
      </c>
      <c r="BI47" s="265" cm="1">
        <f t="array" ref="BI47">SUMPRODUCT(($C47=CapexCategory)*(BI$4=CapexSalvageMonth)*SalGain)</f>
        <v>0</v>
      </c>
      <c r="BJ47" s="265" cm="1">
        <f t="array" ref="BJ47">SUMPRODUCT(($C47=CapexCategory)*(BJ$4=CapexSalvageMonth)*SalGain)</f>
        <v>0</v>
      </c>
      <c r="BK47" s="265" cm="1">
        <f t="array" ref="BK47">SUMPRODUCT(($C47=CapexCategory)*(BK$4=CapexSalvageMonth)*SalGain)</f>
        <v>0</v>
      </c>
      <c r="BL47" s="265" cm="1">
        <f t="array" ref="BL47">SUMPRODUCT(($C47=CapexCategory)*(BL$4=CapexSalvageMonth)*SalGain)</f>
        <v>0</v>
      </c>
      <c r="BM47" s="265" cm="1">
        <f t="array" ref="BM47">SUMPRODUCT(($C47=CapexCategory)*(BM$4=CapexSalvageMonth)*SalGain)</f>
        <v>15</v>
      </c>
      <c r="BN47" s="265" cm="1">
        <f t="array" ref="BN47">SUMPRODUCT(($C47=CapexCategory)*(BN$4=CapexSalvageMonth)*SalGain)</f>
        <v>0</v>
      </c>
      <c r="BO47" s="265" cm="1">
        <f t="array" ref="BO47">SUMPRODUCT(($C47=CapexCategory)*(BO$4=CapexSalvageMonth)*SalGain)</f>
        <v>0</v>
      </c>
      <c r="BP47" s="265" cm="1">
        <f t="array" ref="BP47">SUMPRODUCT(($C47=CapexCategory)*(BP$4=CapexSalvageMonth)*SalGain)</f>
        <v>0</v>
      </c>
      <c r="BQ47" s="265" cm="1">
        <f t="array" ref="BQ47">SUMPRODUCT(($C47=CapexCategory)*(BQ$4=CapexSalvageMonth)*SalGain)</f>
        <v>0</v>
      </c>
      <c r="BR47" s="263" cm="1">
        <f t="array" ref="BR47">SUMPRODUCT(($C47=CapexCategory)*(BR$4=CapexSalvageMonth)*SalGain)</f>
        <v>0</v>
      </c>
    </row>
    <row r="48" spans="1:70" ht="13.2" hidden="1" x14ac:dyDescent="0.3">
      <c r="C48" s="185" t="s">
        <v>221</v>
      </c>
      <c r="D48" s="14"/>
      <c r="E48" s="263">
        <f t="shared" si="40"/>
        <v>0</v>
      </c>
      <c r="F48" s="263">
        <f t="shared" si="41"/>
        <v>0</v>
      </c>
      <c r="G48" s="263">
        <f t="shared" si="42"/>
        <v>0</v>
      </c>
      <c r="H48" s="263">
        <f t="shared" si="43"/>
        <v>0</v>
      </c>
      <c r="I48" s="263">
        <f t="shared" si="44"/>
        <v>0</v>
      </c>
      <c r="J48" s="264"/>
      <c r="K48" s="265" cm="1">
        <f t="array" ref="K48">SUMPRODUCT(($C48=CapexCategory)*(K$4=CapexSalvageMonth)*SalGain)</f>
        <v>0</v>
      </c>
      <c r="L48" s="265" cm="1">
        <f t="array" ref="L48">SUMPRODUCT(($C48=CapexCategory)*(L$4=CapexSalvageMonth)*SalGain)</f>
        <v>0</v>
      </c>
      <c r="M48" s="265" cm="1">
        <f t="array" ref="M48">SUMPRODUCT(($C48=CapexCategory)*(M$4=CapexSalvageMonth)*SalGain)</f>
        <v>0</v>
      </c>
      <c r="N48" s="265" cm="1">
        <f t="array" ref="N48">SUMPRODUCT(($C48=CapexCategory)*(N$4=CapexSalvageMonth)*SalGain)</f>
        <v>0</v>
      </c>
      <c r="O48" s="265" cm="1">
        <f t="array" ref="O48">SUMPRODUCT(($C48=CapexCategory)*(O$4=CapexSalvageMonth)*SalGain)</f>
        <v>0</v>
      </c>
      <c r="P48" s="265" cm="1">
        <f t="array" ref="P48">SUMPRODUCT(($C48=CapexCategory)*(P$4=CapexSalvageMonth)*SalGain)</f>
        <v>0</v>
      </c>
      <c r="Q48" s="265" cm="1">
        <f t="array" ref="Q48">SUMPRODUCT(($C48=CapexCategory)*(Q$4=CapexSalvageMonth)*SalGain)</f>
        <v>0</v>
      </c>
      <c r="R48" s="265" cm="1">
        <f t="array" ref="R48">SUMPRODUCT(($C48=CapexCategory)*(R$4=CapexSalvageMonth)*SalGain)</f>
        <v>0</v>
      </c>
      <c r="S48" s="265" cm="1">
        <f t="array" ref="S48">SUMPRODUCT(($C48=CapexCategory)*(S$4=CapexSalvageMonth)*SalGain)</f>
        <v>0</v>
      </c>
      <c r="T48" s="265" cm="1">
        <f t="array" ref="T48">SUMPRODUCT(($C48=CapexCategory)*(T$4=CapexSalvageMonth)*SalGain)</f>
        <v>0</v>
      </c>
      <c r="U48" s="265" cm="1">
        <f t="array" ref="U48">SUMPRODUCT(($C48=CapexCategory)*(U$4=CapexSalvageMonth)*SalGain)</f>
        <v>0</v>
      </c>
      <c r="V48" s="263" cm="1">
        <f t="array" ref="V48">SUMPRODUCT(($C48=CapexCategory)*(V$4=CapexSalvageMonth)*SalGain)</f>
        <v>0</v>
      </c>
      <c r="W48" s="265" cm="1">
        <f t="array" ref="W48">SUMPRODUCT(($C48=CapexCategory)*(W$4=CapexSalvageMonth)*SalGain)</f>
        <v>0</v>
      </c>
      <c r="X48" s="265" cm="1">
        <f t="array" ref="X48">SUMPRODUCT(($C48=CapexCategory)*(X$4=CapexSalvageMonth)*SalGain)</f>
        <v>0</v>
      </c>
      <c r="Y48" s="265" cm="1">
        <f t="array" ref="Y48">SUMPRODUCT(($C48=CapexCategory)*(Y$4=CapexSalvageMonth)*SalGain)</f>
        <v>0</v>
      </c>
      <c r="Z48" s="265" cm="1">
        <f t="array" ref="Z48">SUMPRODUCT(($C48=CapexCategory)*(Z$4=CapexSalvageMonth)*SalGain)</f>
        <v>0</v>
      </c>
      <c r="AA48" s="265" cm="1">
        <f t="array" ref="AA48">SUMPRODUCT(($C48=CapexCategory)*(AA$4=CapexSalvageMonth)*SalGain)</f>
        <v>0</v>
      </c>
      <c r="AB48" s="265" cm="1">
        <f t="array" ref="AB48">SUMPRODUCT(($C48=CapexCategory)*(AB$4=CapexSalvageMonth)*SalGain)</f>
        <v>0</v>
      </c>
      <c r="AC48" s="265" cm="1">
        <f t="array" ref="AC48">SUMPRODUCT(($C48=CapexCategory)*(AC$4=CapexSalvageMonth)*SalGain)</f>
        <v>0</v>
      </c>
      <c r="AD48" s="265" cm="1">
        <f t="array" ref="AD48">SUMPRODUCT(($C48=CapexCategory)*(AD$4=CapexSalvageMonth)*SalGain)</f>
        <v>0</v>
      </c>
      <c r="AE48" s="265" cm="1">
        <f t="array" ref="AE48">SUMPRODUCT(($C48=CapexCategory)*(AE$4=CapexSalvageMonth)*SalGain)</f>
        <v>0</v>
      </c>
      <c r="AF48" s="265" cm="1">
        <f t="array" ref="AF48">SUMPRODUCT(($C48=CapexCategory)*(AF$4=CapexSalvageMonth)*SalGain)</f>
        <v>0</v>
      </c>
      <c r="AG48" s="265" cm="1">
        <f t="array" ref="AG48">SUMPRODUCT(($C48=CapexCategory)*(AG$4=CapexSalvageMonth)*SalGain)</f>
        <v>0</v>
      </c>
      <c r="AH48" s="263" cm="1">
        <f t="array" ref="AH48">SUMPRODUCT(($C48=CapexCategory)*(AH$4=CapexSalvageMonth)*SalGain)</f>
        <v>0</v>
      </c>
      <c r="AI48" s="265" cm="1">
        <f t="array" ref="AI48">SUMPRODUCT(($C48=CapexCategory)*(AI$4=CapexSalvageMonth)*SalGain)</f>
        <v>0</v>
      </c>
      <c r="AJ48" s="265" cm="1">
        <f t="array" ref="AJ48">SUMPRODUCT(($C48=CapexCategory)*(AJ$4=CapexSalvageMonth)*SalGain)</f>
        <v>0</v>
      </c>
      <c r="AK48" s="265" cm="1">
        <f t="array" ref="AK48">SUMPRODUCT(($C48=CapexCategory)*(AK$4=CapexSalvageMonth)*SalGain)</f>
        <v>0</v>
      </c>
      <c r="AL48" s="265" cm="1">
        <f t="array" ref="AL48">SUMPRODUCT(($C48=CapexCategory)*(AL$4=CapexSalvageMonth)*SalGain)</f>
        <v>0</v>
      </c>
      <c r="AM48" s="265" cm="1">
        <f t="array" ref="AM48">SUMPRODUCT(($C48=CapexCategory)*(AM$4=CapexSalvageMonth)*SalGain)</f>
        <v>0</v>
      </c>
      <c r="AN48" s="265" cm="1">
        <f t="array" ref="AN48">SUMPRODUCT(($C48=CapexCategory)*(AN$4=CapexSalvageMonth)*SalGain)</f>
        <v>0</v>
      </c>
      <c r="AO48" s="265" cm="1">
        <f t="array" ref="AO48">SUMPRODUCT(($C48=CapexCategory)*(AO$4=CapexSalvageMonth)*SalGain)</f>
        <v>0</v>
      </c>
      <c r="AP48" s="265" cm="1">
        <f t="array" ref="AP48">SUMPRODUCT(($C48=CapexCategory)*(AP$4=CapexSalvageMonth)*SalGain)</f>
        <v>0</v>
      </c>
      <c r="AQ48" s="265" cm="1">
        <f t="array" ref="AQ48">SUMPRODUCT(($C48=CapexCategory)*(AQ$4=CapexSalvageMonth)*SalGain)</f>
        <v>0</v>
      </c>
      <c r="AR48" s="265" cm="1">
        <f t="array" ref="AR48">SUMPRODUCT(($C48=CapexCategory)*(AR$4=CapexSalvageMonth)*SalGain)</f>
        <v>0</v>
      </c>
      <c r="AS48" s="265" cm="1">
        <f t="array" ref="AS48">SUMPRODUCT(($C48=CapexCategory)*(AS$4=CapexSalvageMonth)*SalGain)</f>
        <v>0</v>
      </c>
      <c r="AT48" s="263" cm="1">
        <f t="array" ref="AT48">SUMPRODUCT(($C48=CapexCategory)*(AT$4=CapexSalvageMonth)*SalGain)</f>
        <v>0</v>
      </c>
      <c r="AU48" s="265" cm="1">
        <f t="array" ref="AU48">SUMPRODUCT(($C48=CapexCategory)*(AU$4=CapexSalvageMonth)*SalGain)</f>
        <v>0</v>
      </c>
      <c r="AV48" s="265" cm="1">
        <f t="array" ref="AV48">SUMPRODUCT(($C48=CapexCategory)*(AV$4=CapexSalvageMonth)*SalGain)</f>
        <v>0</v>
      </c>
      <c r="AW48" s="265" cm="1">
        <f t="array" ref="AW48">SUMPRODUCT(($C48=CapexCategory)*(AW$4=CapexSalvageMonth)*SalGain)</f>
        <v>0</v>
      </c>
      <c r="AX48" s="265" cm="1">
        <f t="array" ref="AX48">SUMPRODUCT(($C48=CapexCategory)*(AX$4=CapexSalvageMonth)*SalGain)</f>
        <v>0</v>
      </c>
      <c r="AY48" s="265" cm="1">
        <f t="array" ref="AY48">SUMPRODUCT(($C48=CapexCategory)*(AY$4=CapexSalvageMonth)*SalGain)</f>
        <v>0</v>
      </c>
      <c r="AZ48" s="265" cm="1">
        <f t="array" ref="AZ48">SUMPRODUCT(($C48=CapexCategory)*(AZ$4=CapexSalvageMonth)*SalGain)</f>
        <v>0</v>
      </c>
      <c r="BA48" s="265" cm="1">
        <f t="array" ref="BA48">SUMPRODUCT(($C48=CapexCategory)*(BA$4=CapexSalvageMonth)*SalGain)</f>
        <v>0</v>
      </c>
      <c r="BB48" s="265" cm="1">
        <f t="array" ref="BB48">SUMPRODUCT(($C48=CapexCategory)*(BB$4=CapexSalvageMonth)*SalGain)</f>
        <v>0</v>
      </c>
      <c r="BC48" s="265" cm="1">
        <f t="array" ref="BC48">SUMPRODUCT(($C48=CapexCategory)*(BC$4=CapexSalvageMonth)*SalGain)</f>
        <v>0</v>
      </c>
      <c r="BD48" s="265" cm="1">
        <f t="array" ref="BD48">SUMPRODUCT(($C48=CapexCategory)*(BD$4=CapexSalvageMonth)*SalGain)</f>
        <v>0</v>
      </c>
      <c r="BE48" s="265" cm="1">
        <f t="array" ref="BE48">SUMPRODUCT(($C48=CapexCategory)*(BE$4=CapexSalvageMonth)*SalGain)</f>
        <v>0</v>
      </c>
      <c r="BF48" s="263" cm="1">
        <f t="array" ref="BF48">SUMPRODUCT(($C48=CapexCategory)*(BF$4=CapexSalvageMonth)*SalGain)</f>
        <v>0</v>
      </c>
      <c r="BG48" s="265" cm="1">
        <f t="array" ref="BG48">SUMPRODUCT(($C48=CapexCategory)*(BG$4=CapexSalvageMonth)*SalGain)</f>
        <v>0</v>
      </c>
      <c r="BH48" s="265" cm="1">
        <f t="array" ref="BH48">SUMPRODUCT(($C48=CapexCategory)*(BH$4=CapexSalvageMonth)*SalGain)</f>
        <v>0</v>
      </c>
      <c r="BI48" s="265" cm="1">
        <f t="array" ref="BI48">SUMPRODUCT(($C48=CapexCategory)*(BI$4=CapexSalvageMonth)*SalGain)</f>
        <v>0</v>
      </c>
      <c r="BJ48" s="265" cm="1">
        <f t="array" ref="BJ48">SUMPRODUCT(($C48=CapexCategory)*(BJ$4=CapexSalvageMonth)*SalGain)</f>
        <v>0</v>
      </c>
      <c r="BK48" s="265" cm="1">
        <f t="array" ref="BK48">SUMPRODUCT(($C48=CapexCategory)*(BK$4=CapexSalvageMonth)*SalGain)</f>
        <v>0</v>
      </c>
      <c r="BL48" s="265" cm="1">
        <f t="array" ref="BL48">SUMPRODUCT(($C48=CapexCategory)*(BL$4=CapexSalvageMonth)*SalGain)</f>
        <v>0</v>
      </c>
      <c r="BM48" s="265" cm="1">
        <f t="array" ref="BM48">SUMPRODUCT(($C48=CapexCategory)*(BM$4=CapexSalvageMonth)*SalGain)</f>
        <v>0</v>
      </c>
      <c r="BN48" s="265" cm="1">
        <f t="array" ref="BN48">SUMPRODUCT(($C48=CapexCategory)*(BN$4=CapexSalvageMonth)*SalGain)</f>
        <v>0</v>
      </c>
      <c r="BO48" s="265" cm="1">
        <f t="array" ref="BO48">SUMPRODUCT(($C48=CapexCategory)*(BO$4=CapexSalvageMonth)*SalGain)</f>
        <v>0</v>
      </c>
      <c r="BP48" s="265" cm="1">
        <f t="array" ref="BP48">SUMPRODUCT(($C48=CapexCategory)*(BP$4=CapexSalvageMonth)*SalGain)</f>
        <v>0</v>
      </c>
      <c r="BQ48" s="265" cm="1">
        <f t="array" ref="BQ48">SUMPRODUCT(($C48=CapexCategory)*(BQ$4=CapexSalvageMonth)*SalGain)</f>
        <v>0</v>
      </c>
      <c r="BR48" s="263" cm="1">
        <f t="array" ref="BR48">SUMPRODUCT(($C48=CapexCategory)*(BR$4=CapexSalvageMonth)*SalGain)</f>
        <v>0</v>
      </c>
    </row>
    <row r="49" spans="1:70" ht="13.2" hidden="1" x14ac:dyDescent="0.3">
      <c r="C49" s="185" t="s">
        <v>222</v>
      </c>
      <c r="D49" s="14"/>
      <c r="E49" s="263">
        <f t="shared" si="40"/>
        <v>-32</v>
      </c>
      <c r="F49" s="263">
        <f t="shared" si="41"/>
        <v>0</v>
      </c>
      <c r="G49" s="263">
        <f t="shared" si="42"/>
        <v>0</v>
      </c>
      <c r="H49" s="263">
        <f t="shared" si="43"/>
        <v>0</v>
      </c>
      <c r="I49" s="263">
        <f t="shared" si="44"/>
        <v>0</v>
      </c>
      <c r="J49" s="264"/>
      <c r="K49" s="265" cm="1">
        <f t="array" ref="K49">SUMPRODUCT(($C49=CapexCategory)*(K$4=CapexSalvageMonth)*SalGain)</f>
        <v>0</v>
      </c>
      <c r="L49" s="265" cm="1">
        <f t="array" ref="L49">SUMPRODUCT(($C49=CapexCategory)*(L$4=CapexSalvageMonth)*SalGain)</f>
        <v>0</v>
      </c>
      <c r="M49" s="265" cm="1">
        <f t="array" ref="M49">SUMPRODUCT(($C49=CapexCategory)*(M$4=CapexSalvageMonth)*SalGain)</f>
        <v>0</v>
      </c>
      <c r="N49" s="265" cm="1">
        <f t="array" ref="N49">SUMPRODUCT(($C49=CapexCategory)*(N$4=CapexSalvageMonth)*SalGain)</f>
        <v>0</v>
      </c>
      <c r="O49" s="265" cm="1">
        <f t="array" ref="O49">SUMPRODUCT(($C49=CapexCategory)*(O$4=CapexSalvageMonth)*SalGain)</f>
        <v>0</v>
      </c>
      <c r="P49" s="265" cm="1">
        <f t="array" ref="P49">SUMPRODUCT(($C49=CapexCategory)*(P$4=CapexSalvageMonth)*SalGain)</f>
        <v>0</v>
      </c>
      <c r="Q49" s="265" cm="1">
        <f t="array" ref="Q49">SUMPRODUCT(($C49=CapexCategory)*(Q$4=CapexSalvageMonth)*SalGain)</f>
        <v>0</v>
      </c>
      <c r="R49" s="265" cm="1">
        <f t="array" ref="R49">SUMPRODUCT(($C49=CapexCategory)*(R$4=CapexSalvageMonth)*SalGain)</f>
        <v>0</v>
      </c>
      <c r="S49" s="265" cm="1">
        <f t="array" ref="S49">SUMPRODUCT(($C49=CapexCategory)*(S$4=CapexSalvageMonth)*SalGain)</f>
        <v>0</v>
      </c>
      <c r="T49" s="265" cm="1">
        <f t="array" ref="T49">SUMPRODUCT(($C49=CapexCategory)*(T$4=CapexSalvageMonth)*SalGain)</f>
        <v>0</v>
      </c>
      <c r="U49" s="265" cm="1">
        <f t="array" ref="U49">SUMPRODUCT(($C49=CapexCategory)*(U$4=CapexSalvageMonth)*SalGain)</f>
        <v>0</v>
      </c>
      <c r="V49" s="263" cm="1">
        <f t="array" ref="V49">SUMPRODUCT(($C49=CapexCategory)*(V$4=CapexSalvageMonth)*SalGain)</f>
        <v>-32</v>
      </c>
      <c r="W49" s="265" cm="1">
        <f t="array" ref="W49">SUMPRODUCT(($C49=CapexCategory)*(W$4=CapexSalvageMonth)*SalGain)</f>
        <v>0</v>
      </c>
      <c r="X49" s="265" cm="1">
        <f t="array" ref="X49">SUMPRODUCT(($C49=CapexCategory)*(X$4=CapexSalvageMonth)*SalGain)</f>
        <v>0</v>
      </c>
      <c r="Y49" s="265" cm="1">
        <f t="array" ref="Y49">SUMPRODUCT(($C49=CapexCategory)*(Y$4=CapexSalvageMonth)*SalGain)</f>
        <v>0</v>
      </c>
      <c r="Z49" s="265" cm="1">
        <f t="array" ref="Z49">SUMPRODUCT(($C49=CapexCategory)*(Z$4=CapexSalvageMonth)*SalGain)</f>
        <v>0</v>
      </c>
      <c r="AA49" s="265" cm="1">
        <f t="array" ref="AA49">SUMPRODUCT(($C49=CapexCategory)*(AA$4=CapexSalvageMonth)*SalGain)</f>
        <v>0</v>
      </c>
      <c r="AB49" s="265" cm="1">
        <f t="array" ref="AB49">SUMPRODUCT(($C49=CapexCategory)*(AB$4=CapexSalvageMonth)*SalGain)</f>
        <v>0</v>
      </c>
      <c r="AC49" s="265" cm="1">
        <f t="array" ref="AC49">SUMPRODUCT(($C49=CapexCategory)*(AC$4=CapexSalvageMonth)*SalGain)</f>
        <v>0</v>
      </c>
      <c r="AD49" s="265" cm="1">
        <f t="array" ref="AD49">SUMPRODUCT(($C49=CapexCategory)*(AD$4=CapexSalvageMonth)*SalGain)</f>
        <v>0</v>
      </c>
      <c r="AE49" s="265" cm="1">
        <f t="array" ref="AE49">SUMPRODUCT(($C49=CapexCategory)*(AE$4=CapexSalvageMonth)*SalGain)</f>
        <v>0</v>
      </c>
      <c r="AF49" s="265" cm="1">
        <f t="array" ref="AF49">SUMPRODUCT(($C49=CapexCategory)*(AF$4=CapexSalvageMonth)*SalGain)</f>
        <v>0</v>
      </c>
      <c r="AG49" s="265" cm="1">
        <f t="array" ref="AG49">SUMPRODUCT(($C49=CapexCategory)*(AG$4=CapexSalvageMonth)*SalGain)</f>
        <v>0</v>
      </c>
      <c r="AH49" s="263" cm="1">
        <f t="array" ref="AH49">SUMPRODUCT(($C49=CapexCategory)*(AH$4=CapexSalvageMonth)*SalGain)</f>
        <v>0</v>
      </c>
      <c r="AI49" s="265" cm="1">
        <f t="array" ref="AI49">SUMPRODUCT(($C49=CapexCategory)*(AI$4=CapexSalvageMonth)*SalGain)</f>
        <v>0</v>
      </c>
      <c r="AJ49" s="265" cm="1">
        <f t="array" ref="AJ49">SUMPRODUCT(($C49=CapexCategory)*(AJ$4=CapexSalvageMonth)*SalGain)</f>
        <v>0</v>
      </c>
      <c r="AK49" s="265" cm="1">
        <f t="array" ref="AK49">SUMPRODUCT(($C49=CapexCategory)*(AK$4=CapexSalvageMonth)*SalGain)</f>
        <v>0</v>
      </c>
      <c r="AL49" s="265" cm="1">
        <f t="array" ref="AL49">SUMPRODUCT(($C49=CapexCategory)*(AL$4=CapexSalvageMonth)*SalGain)</f>
        <v>0</v>
      </c>
      <c r="AM49" s="265" cm="1">
        <f t="array" ref="AM49">SUMPRODUCT(($C49=CapexCategory)*(AM$4=CapexSalvageMonth)*SalGain)</f>
        <v>0</v>
      </c>
      <c r="AN49" s="265" cm="1">
        <f t="array" ref="AN49">SUMPRODUCT(($C49=CapexCategory)*(AN$4=CapexSalvageMonth)*SalGain)</f>
        <v>0</v>
      </c>
      <c r="AO49" s="265" cm="1">
        <f t="array" ref="AO49">SUMPRODUCT(($C49=CapexCategory)*(AO$4=CapexSalvageMonth)*SalGain)</f>
        <v>0</v>
      </c>
      <c r="AP49" s="265" cm="1">
        <f t="array" ref="AP49">SUMPRODUCT(($C49=CapexCategory)*(AP$4=CapexSalvageMonth)*SalGain)</f>
        <v>0</v>
      </c>
      <c r="AQ49" s="265" cm="1">
        <f t="array" ref="AQ49">SUMPRODUCT(($C49=CapexCategory)*(AQ$4=CapexSalvageMonth)*SalGain)</f>
        <v>0</v>
      </c>
      <c r="AR49" s="265" cm="1">
        <f t="array" ref="AR49">SUMPRODUCT(($C49=CapexCategory)*(AR$4=CapexSalvageMonth)*SalGain)</f>
        <v>0</v>
      </c>
      <c r="AS49" s="265" cm="1">
        <f t="array" ref="AS49">SUMPRODUCT(($C49=CapexCategory)*(AS$4=CapexSalvageMonth)*SalGain)</f>
        <v>0</v>
      </c>
      <c r="AT49" s="263" cm="1">
        <f t="array" ref="AT49">SUMPRODUCT(($C49=CapexCategory)*(AT$4=CapexSalvageMonth)*SalGain)</f>
        <v>0</v>
      </c>
      <c r="AU49" s="265" cm="1">
        <f t="array" ref="AU49">SUMPRODUCT(($C49=CapexCategory)*(AU$4=CapexSalvageMonth)*SalGain)</f>
        <v>0</v>
      </c>
      <c r="AV49" s="265" cm="1">
        <f t="array" ref="AV49">SUMPRODUCT(($C49=CapexCategory)*(AV$4=CapexSalvageMonth)*SalGain)</f>
        <v>0</v>
      </c>
      <c r="AW49" s="265" cm="1">
        <f t="array" ref="AW49">SUMPRODUCT(($C49=CapexCategory)*(AW$4=CapexSalvageMonth)*SalGain)</f>
        <v>0</v>
      </c>
      <c r="AX49" s="265" cm="1">
        <f t="array" ref="AX49">SUMPRODUCT(($C49=CapexCategory)*(AX$4=CapexSalvageMonth)*SalGain)</f>
        <v>0</v>
      </c>
      <c r="AY49" s="265" cm="1">
        <f t="array" ref="AY49">SUMPRODUCT(($C49=CapexCategory)*(AY$4=CapexSalvageMonth)*SalGain)</f>
        <v>0</v>
      </c>
      <c r="AZ49" s="265" cm="1">
        <f t="array" ref="AZ49">SUMPRODUCT(($C49=CapexCategory)*(AZ$4=CapexSalvageMonth)*SalGain)</f>
        <v>0</v>
      </c>
      <c r="BA49" s="265" cm="1">
        <f t="array" ref="BA49">SUMPRODUCT(($C49=CapexCategory)*(BA$4=CapexSalvageMonth)*SalGain)</f>
        <v>0</v>
      </c>
      <c r="BB49" s="265" cm="1">
        <f t="array" ref="BB49">SUMPRODUCT(($C49=CapexCategory)*(BB$4=CapexSalvageMonth)*SalGain)</f>
        <v>0</v>
      </c>
      <c r="BC49" s="265" cm="1">
        <f t="array" ref="BC49">SUMPRODUCT(($C49=CapexCategory)*(BC$4=CapexSalvageMonth)*SalGain)</f>
        <v>0</v>
      </c>
      <c r="BD49" s="265" cm="1">
        <f t="array" ref="BD49">SUMPRODUCT(($C49=CapexCategory)*(BD$4=CapexSalvageMonth)*SalGain)</f>
        <v>0</v>
      </c>
      <c r="BE49" s="265" cm="1">
        <f t="array" ref="BE49">SUMPRODUCT(($C49=CapexCategory)*(BE$4=CapexSalvageMonth)*SalGain)</f>
        <v>0</v>
      </c>
      <c r="BF49" s="263" cm="1">
        <f t="array" ref="BF49">SUMPRODUCT(($C49=CapexCategory)*(BF$4=CapexSalvageMonth)*SalGain)</f>
        <v>0</v>
      </c>
      <c r="BG49" s="265" cm="1">
        <f t="array" ref="BG49">SUMPRODUCT(($C49=CapexCategory)*(BG$4=CapexSalvageMonth)*SalGain)</f>
        <v>0</v>
      </c>
      <c r="BH49" s="265" cm="1">
        <f t="array" ref="BH49">SUMPRODUCT(($C49=CapexCategory)*(BH$4=CapexSalvageMonth)*SalGain)</f>
        <v>0</v>
      </c>
      <c r="BI49" s="265" cm="1">
        <f t="array" ref="BI49">SUMPRODUCT(($C49=CapexCategory)*(BI$4=CapexSalvageMonth)*SalGain)</f>
        <v>0</v>
      </c>
      <c r="BJ49" s="265" cm="1">
        <f t="array" ref="BJ49">SUMPRODUCT(($C49=CapexCategory)*(BJ$4=CapexSalvageMonth)*SalGain)</f>
        <v>0</v>
      </c>
      <c r="BK49" s="265" cm="1">
        <f t="array" ref="BK49">SUMPRODUCT(($C49=CapexCategory)*(BK$4=CapexSalvageMonth)*SalGain)</f>
        <v>0</v>
      </c>
      <c r="BL49" s="265" cm="1">
        <f t="array" ref="BL49">SUMPRODUCT(($C49=CapexCategory)*(BL$4=CapexSalvageMonth)*SalGain)</f>
        <v>0</v>
      </c>
      <c r="BM49" s="265" cm="1">
        <f t="array" ref="BM49">SUMPRODUCT(($C49=CapexCategory)*(BM$4=CapexSalvageMonth)*SalGain)</f>
        <v>0</v>
      </c>
      <c r="BN49" s="265" cm="1">
        <f t="array" ref="BN49">SUMPRODUCT(($C49=CapexCategory)*(BN$4=CapexSalvageMonth)*SalGain)</f>
        <v>0</v>
      </c>
      <c r="BO49" s="265" cm="1">
        <f t="array" ref="BO49">SUMPRODUCT(($C49=CapexCategory)*(BO$4=CapexSalvageMonth)*SalGain)</f>
        <v>0</v>
      </c>
      <c r="BP49" s="265" cm="1">
        <f t="array" ref="BP49">SUMPRODUCT(($C49=CapexCategory)*(BP$4=CapexSalvageMonth)*SalGain)</f>
        <v>0</v>
      </c>
      <c r="BQ49" s="265" cm="1">
        <f t="array" ref="BQ49">SUMPRODUCT(($C49=CapexCategory)*(BQ$4=CapexSalvageMonth)*SalGain)</f>
        <v>0</v>
      </c>
      <c r="BR49" s="263" cm="1">
        <f t="array" ref="BR49">SUMPRODUCT(($C49=CapexCategory)*(BR$4=CapexSalvageMonth)*SalGain)</f>
        <v>0</v>
      </c>
    </row>
    <row r="50" spans="1:70" ht="13.2" hidden="1" x14ac:dyDescent="0.3">
      <c r="C50" s="185" t="s">
        <v>223</v>
      </c>
      <c r="D50" s="14"/>
      <c r="E50" s="263">
        <f t="shared" si="40"/>
        <v>0</v>
      </c>
      <c r="F50" s="263">
        <f t="shared" si="41"/>
        <v>0</v>
      </c>
      <c r="G50" s="263">
        <f t="shared" si="42"/>
        <v>0</v>
      </c>
      <c r="H50" s="263">
        <f t="shared" si="43"/>
        <v>0</v>
      </c>
      <c r="I50" s="263">
        <f t="shared" si="44"/>
        <v>-5</v>
      </c>
      <c r="J50" s="264"/>
      <c r="K50" s="265" cm="1">
        <f t="array" ref="K50">SUMPRODUCT(($C50=CapexCategory)*(K$4=CapexSalvageMonth)*SalGain)</f>
        <v>0</v>
      </c>
      <c r="L50" s="265" cm="1">
        <f t="array" ref="L50">SUMPRODUCT(($C50=CapexCategory)*(L$4=CapexSalvageMonth)*SalGain)</f>
        <v>0</v>
      </c>
      <c r="M50" s="265" cm="1">
        <f t="array" ref="M50">SUMPRODUCT(($C50=CapexCategory)*(M$4=CapexSalvageMonth)*SalGain)</f>
        <v>0</v>
      </c>
      <c r="N50" s="265" cm="1">
        <f t="array" ref="N50">SUMPRODUCT(($C50=CapexCategory)*(N$4=CapexSalvageMonth)*SalGain)</f>
        <v>0</v>
      </c>
      <c r="O50" s="265" cm="1">
        <f t="array" ref="O50">SUMPRODUCT(($C50=CapexCategory)*(O$4=CapexSalvageMonth)*SalGain)</f>
        <v>0</v>
      </c>
      <c r="P50" s="265" cm="1">
        <f t="array" ref="P50">SUMPRODUCT(($C50=CapexCategory)*(P$4=CapexSalvageMonth)*SalGain)</f>
        <v>0</v>
      </c>
      <c r="Q50" s="265" cm="1">
        <f t="array" ref="Q50">SUMPRODUCT(($C50=CapexCategory)*(Q$4=CapexSalvageMonth)*SalGain)</f>
        <v>0</v>
      </c>
      <c r="R50" s="265" cm="1">
        <f t="array" ref="R50">SUMPRODUCT(($C50=CapexCategory)*(R$4=CapexSalvageMonth)*SalGain)</f>
        <v>0</v>
      </c>
      <c r="S50" s="265" cm="1">
        <f t="array" ref="S50">SUMPRODUCT(($C50=CapexCategory)*(S$4=CapexSalvageMonth)*SalGain)</f>
        <v>0</v>
      </c>
      <c r="T50" s="265" cm="1">
        <f t="array" ref="T50">SUMPRODUCT(($C50=CapexCategory)*(T$4=CapexSalvageMonth)*SalGain)</f>
        <v>0</v>
      </c>
      <c r="U50" s="265" cm="1">
        <f t="array" ref="U50">SUMPRODUCT(($C50=CapexCategory)*(U$4=CapexSalvageMonth)*SalGain)</f>
        <v>0</v>
      </c>
      <c r="V50" s="263" cm="1">
        <f t="array" ref="V50">SUMPRODUCT(($C50=CapexCategory)*(V$4=CapexSalvageMonth)*SalGain)</f>
        <v>0</v>
      </c>
      <c r="W50" s="265" cm="1">
        <f t="array" ref="W50">SUMPRODUCT(($C50=CapexCategory)*(W$4=CapexSalvageMonth)*SalGain)</f>
        <v>0</v>
      </c>
      <c r="X50" s="265" cm="1">
        <f t="array" ref="X50">SUMPRODUCT(($C50=CapexCategory)*(X$4=CapexSalvageMonth)*SalGain)</f>
        <v>0</v>
      </c>
      <c r="Y50" s="265" cm="1">
        <f t="array" ref="Y50">SUMPRODUCT(($C50=CapexCategory)*(Y$4=CapexSalvageMonth)*SalGain)</f>
        <v>0</v>
      </c>
      <c r="Z50" s="265" cm="1">
        <f t="array" ref="Z50">SUMPRODUCT(($C50=CapexCategory)*(Z$4=CapexSalvageMonth)*SalGain)</f>
        <v>0</v>
      </c>
      <c r="AA50" s="265" cm="1">
        <f t="array" ref="AA50">SUMPRODUCT(($C50=CapexCategory)*(AA$4=CapexSalvageMonth)*SalGain)</f>
        <v>0</v>
      </c>
      <c r="AB50" s="265" cm="1">
        <f t="array" ref="AB50">SUMPRODUCT(($C50=CapexCategory)*(AB$4=CapexSalvageMonth)*SalGain)</f>
        <v>0</v>
      </c>
      <c r="AC50" s="265" cm="1">
        <f t="array" ref="AC50">SUMPRODUCT(($C50=CapexCategory)*(AC$4=CapexSalvageMonth)*SalGain)</f>
        <v>0</v>
      </c>
      <c r="AD50" s="265" cm="1">
        <f t="array" ref="AD50">SUMPRODUCT(($C50=CapexCategory)*(AD$4=CapexSalvageMonth)*SalGain)</f>
        <v>0</v>
      </c>
      <c r="AE50" s="265" cm="1">
        <f t="array" ref="AE50">SUMPRODUCT(($C50=CapexCategory)*(AE$4=CapexSalvageMonth)*SalGain)</f>
        <v>0</v>
      </c>
      <c r="AF50" s="265" cm="1">
        <f t="array" ref="AF50">SUMPRODUCT(($C50=CapexCategory)*(AF$4=CapexSalvageMonth)*SalGain)</f>
        <v>0</v>
      </c>
      <c r="AG50" s="265" cm="1">
        <f t="array" ref="AG50">SUMPRODUCT(($C50=CapexCategory)*(AG$4=CapexSalvageMonth)*SalGain)</f>
        <v>0</v>
      </c>
      <c r="AH50" s="263" cm="1">
        <f t="array" ref="AH50">SUMPRODUCT(($C50=CapexCategory)*(AH$4=CapexSalvageMonth)*SalGain)</f>
        <v>0</v>
      </c>
      <c r="AI50" s="265" cm="1">
        <f t="array" ref="AI50">SUMPRODUCT(($C50=CapexCategory)*(AI$4=CapexSalvageMonth)*SalGain)</f>
        <v>0</v>
      </c>
      <c r="AJ50" s="265" cm="1">
        <f t="array" ref="AJ50">SUMPRODUCT(($C50=CapexCategory)*(AJ$4=CapexSalvageMonth)*SalGain)</f>
        <v>0</v>
      </c>
      <c r="AK50" s="265" cm="1">
        <f t="array" ref="AK50">SUMPRODUCT(($C50=CapexCategory)*(AK$4=CapexSalvageMonth)*SalGain)</f>
        <v>0</v>
      </c>
      <c r="AL50" s="265" cm="1">
        <f t="array" ref="AL50">SUMPRODUCT(($C50=CapexCategory)*(AL$4=CapexSalvageMonth)*SalGain)</f>
        <v>0</v>
      </c>
      <c r="AM50" s="265" cm="1">
        <f t="array" ref="AM50">SUMPRODUCT(($C50=CapexCategory)*(AM$4=CapexSalvageMonth)*SalGain)</f>
        <v>0</v>
      </c>
      <c r="AN50" s="265" cm="1">
        <f t="array" ref="AN50">SUMPRODUCT(($C50=CapexCategory)*(AN$4=CapexSalvageMonth)*SalGain)</f>
        <v>0</v>
      </c>
      <c r="AO50" s="265" cm="1">
        <f t="array" ref="AO50">SUMPRODUCT(($C50=CapexCategory)*(AO$4=CapexSalvageMonth)*SalGain)</f>
        <v>0</v>
      </c>
      <c r="AP50" s="265" cm="1">
        <f t="array" ref="AP50">SUMPRODUCT(($C50=CapexCategory)*(AP$4=CapexSalvageMonth)*SalGain)</f>
        <v>0</v>
      </c>
      <c r="AQ50" s="265" cm="1">
        <f t="array" ref="AQ50">SUMPRODUCT(($C50=CapexCategory)*(AQ$4=CapexSalvageMonth)*SalGain)</f>
        <v>0</v>
      </c>
      <c r="AR50" s="265" cm="1">
        <f t="array" ref="AR50">SUMPRODUCT(($C50=CapexCategory)*(AR$4=CapexSalvageMonth)*SalGain)</f>
        <v>0</v>
      </c>
      <c r="AS50" s="265" cm="1">
        <f t="array" ref="AS50">SUMPRODUCT(($C50=CapexCategory)*(AS$4=CapexSalvageMonth)*SalGain)</f>
        <v>0</v>
      </c>
      <c r="AT50" s="263" cm="1">
        <f t="array" ref="AT50">SUMPRODUCT(($C50=CapexCategory)*(AT$4=CapexSalvageMonth)*SalGain)</f>
        <v>0</v>
      </c>
      <c r="AU50" s="265" cm="1">
        <f t="array" ref="AU50">SUMPRODUCT(($C50=CapexCategory)*(AU$4=CapexSalvageMonth)*SalGain)</f>
        <v>0</v>
      </c>
      <c r="AV50" s="265" cm="1">
        <f t="array" ref="AV50">SUMPRODUCT(($C50=CapexCategory)*(AV$4=CapexSalvageMonth)*SalGain)</f>
        <v>0</v>
      </c>
      <c r="AW50" s="265" cm="1">
        <f t="array" ref="AW50">SUMPRODUCT(($C50=CapexCategory)*(AW$4=CapexSalvageMonth)*SalGain)</f>
        <v>0</v>
      </c>
      <c r="AX50" s="265" cm="1">
        <f t="array" ref="AX50">SUMPRODUCT(($C50=CapexCategory)*(AX$4=CapexSalvageMonth)*SalGain)</f>
        <v>0</v>
      </c>
      <c r="AY50" s="265" cm="1">
        <f t="array" ref="AY50">SUMPRODUCT(($C50=CapexCategory)*(AY$4=CapexSalvageMonth)*SalGain)</f>
        <v>0</v>
      </c>
      <c r="AZ50" s="265" cm="1">
        <f t="array" ref="AZ50">SUMPRODUCT(($C50=CapexCategory)*(AZ$4=CapexSalvageMonth)*SalGain)</f>
        <v>0</v>
      </c>
      <c r="BA50" s="265" cm="1">
        <f t="array" ref="BA50">SUMPRODUCT(($C50=CapexCategory)*(BA$4=CapexSalvageMonth)*SalGain)</f>
        <v>0</v>
      </c>
      <c r="BB50" s="265" cm="1">
        <f t="array" ref="BB50">SUMPRODUCT(($C50=CapexCategory)*(BB$4=CapexSalvageMonth)*SalGain)</f>
        <v>0</v>
      </c>
      <c r="BC50" s="265" cm="1">
        <f t="array" ref="BC50">SUMPRODUCT(($C50=CapexCategory)*(BC$4=CapexSalvageMonth)*SalGain)</f>
        <v>0</v>
      </c>
      <c r="BD50" s="265" cm="1">
        <f t="array" ref="BD50">SUMPRODUCT(($C50=CapexCategory)*(BD$4=CapexSalvageMonth)*SalGain)</f>
        <v>0</v>
      </c>
      <c r="BE50" s="265" cm="1">
        <f t="array" ref="BE50">SUMPRODUCT(($C50=CapexCategory)*(BE$4=CapexSalvageMonth)*SalGain)</f>
        <v>0</v>
      </c>
      <c r="BF50" s="263" cm="1">
        <f t="array" ref="BF50">SUMPRODUCT(($C50=CapexCategory)*(BF$4=CapexSalvageMonth)*SalGain)</f>
        <v>0</v>
      </c>
      <c r="BG50" s="265" cm="1">
        <f t="array" ref="BG50">SUMPRODUCT(($C50=CapexCategory)*(BG$4=CapexSalvageMonth)*SalGain)</f>
        <v>0</v>
      </c>
      <c r="BH50" s="265" cm="1">
        <f t="array" ref="BH50">SUMPRODUCT(($C50=CapexCategory)*(BH$4=CapexSalvageMonth)*SalGain)</f>
        <v>0</v>
      </c>
      <c r="BI50" s="265" cm="1">
        <f t="array" ref="BI50">SUMPRODUCT(($C50=CapexCategory)*(BI$4=CapexSalvageMonth)*SalGain)</f>
        <v>0</v>
      </c>
      <c r="BJ50" s="265" cm="1">
        <f t="array" ref="BJ50">SUMPRODUCT(($C50=CapexCategory)*(BJ$4=CapexSalvageMonth)*SalGain)</f>
        <v>0</v>
      </c>
      <c r="BK50" s="265" cm="1">
        <f t="array" ref="BK50">SUMPRODUCT(($C50=CapexCategory)*(BK$4=CapexSalvageMonth)*SalGain)</f>
        <v>0</v>
      </c>
      <c r="BL50" s="265" cm="1">
        <f t="array" ref="BL50">SUMPRODUCT(($C50=CapexCategory)*(BL$4=CapexSalvageMonth)*SalGain)</f>
        <v>0</v>
      </c>
      <c r="BM50" s="265" cm="1">
        <f t="array" ref="BM50">SUMPRODUCT(($C50=CapexCategory)*(BM$4=CapexSalvageMonth)*SalGain)</f>
        <v>0</v>
      </c>
      <c r="BN50" s="265" cm="1">
        <f t="array" ref="BN50">SUMPRODUCT(($C50=CapexCategory)*(BN$4=CapexSalvageMonth)*SalGain)</f>
        <v>0</v>
      </c>
      <c r="BO50" s="265" cm="1">
        <f t="array" ref="BO50">SUMPRODUCT(($C50=CapexCategory)*(BO$4=CapexSalvageMonth)*SalGain)</f>
        <v>0</v>
      </c>
      <c r="BP50" s="265" cm="1">
        <f t="array" ref="BP50">SUMPRODUCT(($C50=CapexCategory)*(BP$4=CapexSalvageMonth)*SalGain)</f>
        <v>-5</v>
      </c>
      <c r="BQ50" s="265" cm="1">
        <f t="array" ref="BQ50">SUMPRODUCT(($C50=CapexCategory)*(BQ$4=CapexSalvageMonth)*SalGain)</f>
        <v>0</v>
      </c>
      <c r="BR50" s="263" cm="1">
        <f t="array" ref="BR50">SUMPRODUCT(($C50=CapexCategory)*(BR$4=CapexSalvageMonth)*SalGain)</f>
        <v>0</v>
      </c>
    </row>
    <row r="51" spans="1:70" ht="13.2" hidden="1" x14ac:dyDescent="0.3">
      <c r="C51" s="246" t="s">
        <v>224</v>
      </c>
      <c r="D51" s="14"/>
      <c r="E51" s="247">
        <f t="shared" si="40"/>
        <v>0</v>
      </c>
      <c r="F51" s="247">
        <f t="shared" si="41"/>
        <v>0</v>
      </c>
      <c r="G51" s="247">
        <f t="shared" si="42"/>
        <v>0</v>
      </c>
      <c r="H51" s="247">
        <f t="shared" si="43"/>
        <v>0</v>
      </c>
      <c r="I51" s="247">
        <f t="shared" si="44"/>
        <v>0</v>
      </c>
      <c r="J51" s="264"/>
      <c r="K51" s="226" cm="1">
        <f t="array" ref="K51">SUMPRODUCT((K$4=CapexSalvageMonth)*SalGain)-SUM(K46:K50)</f>
        <v>0</v>
      </c>
      <c r="L51" s="226" cm="1">
        <f t="array" ref="L51">SUMPRODUCT((L$4=CapexSalvageMonth)*SalGain)-SUM(L46:L50)</f>
        <v>0</v>
      </c>
      <c r="M51" s="226" cm="1">
        <f t="array" ref="M51">SUMPRODUCT((M$4=CapexSalvageMonth)*SalGain)-SUM(M46:M50)</f>
        <v>0</v>
      </c>
      <c r="N51" s="226" cm="1">
        <f t="array" ref="N51">SUMPRODUCT((N$4=CapexSalvageMonth)*SalGain)-SUM(N46:N50)</f>
        <v>0</v>
      </c>
      <c r="O51" s="226" cm="1">
        <f t="array" ref="O51">SUMPRODUCT((O$4=CapexSalvageMonth)*SalGain)-SUM(O46:O50)</f>
        <v>0</v>
      </c>
      <c r="P51" s="226" cm="1">
        <f t="array" ref="P51">SUMPRODUCT((P$4=CapexSalvageMonth)*SalGain)-SUM(P46:P50)</f>
        <v>0</v>
      </c>
      <c r="Q51" s="226" cm="1">
        <f t="array" ref="Q51">SUMPRODUCT((Q$4=CapexSalvageMonth)*SalGain)-SUM(Q46:Q50)</f>
        <v>0</v>
      </c>
      <c r="R51" s="226" cm="1">
        <f t="array" ref="R51">SUMPRODUCT((R$4=CapexSalvageMonth)*SalGain)-SUM(R46:R50)</f>
        <v>0</v>
      </c>
      <c r="S51" s="226" cm="1">
        <f t="array" ref="S51">SUMPRODUCT((S$4=CapexSalvageMonth)*SalGain)-SUM(S46:S50)</f>
        <v>0</v>
      </c>
      <c r="T51" s="226" cm="1">
        <f t="array" ref="T51">SUMPRODUCT((T$4=CapexSalvageMonth)*SalGain)-SUM(T46:T50)</f>
        <v>0</v>
      </c>
      <c r="U51" s="226" cm="1">
        <f t="array" ref="U51">SUMPRODUCT((U$4=CapexSalvageMonth)*SalGain)-SUM(U46:U50)</f>
        <v>0</v>
      </c>
      <c r="V51" s="247" cm="1">
        <f t="array" ref="V51">SUMPRODUCT((V$4=CapexSalvageMonth)*SalGain)-SUM(V46:V50)</f>
        <v>0</v>
      </c>
      <c r="W51" s="226" cm="1">
        <f t="array" ref="W51">SUMPRODUCT((W$4=CapexSalvageMonth)*SalGain)-SUM(W46:W50)</f>
        <v>0</v>
      </c>
      <c r="X51" s="226" cm="1">
        <f t="array" ref="X51">SUMPRODUCT((X$4=CapexSalvageMonth)*SalGain)-SUM(X46:X50)</f>
        <v>0</v>
      </c>
      <c r="Y51" s="226" cm="1">
        <f t="array" ref="Y51">SUMPRODUCT((Y$4=CapexSalvageMonth)*SalGain)-SUM(Y46:Y50)</f>
        <v>0</v>
      </c>
      <c r="Z51" s="226" cm="1">
        <f t="array" ref="Z51">SUMPRODUCT((Z$4=CapexSalvageMonth)*SalGain)-SUM(Z46:Z50)</f>
        <v>0</v>
      </c>
      <c r="AA51" s="226" cm="1">
        <f t="array" ref="AA51">SUMPRODUCT((AA$4=CapexSalvageMonth)*SalGain)-SUM(AA46:AA50)</f>
        <v>0</v>
      </c>
      <c r="AB51" s="226" cm="1">
        <f t="array" ref="AB51">SUMPRODUCT((AB$4=CapexSalvageMonth)*SalGain)-SUM(AB46:AB50)</f>
        <v>0</v>
      </c>
      <c r="AC51" s="226" cm="1">
        <f t="array" ref="AC51">SUMPRODUCT((AC$4=CapexSalvageMonth)*SalGain)-SUM(AC46:AC50)</f>
        <v>0</v>
      </c>
      <c r="AD51" s="226" cm="1">
        <f t="array" ref="AD51">SUMPRODUCT((AD$4=CapexSalvageMonth)*SalGain)-SUM(AD46:AD50)</f>
        <v>0</v>
      </c>
      <c r="AE51" s="226" cm="1">
        <f t="array" ref="AE51">SUMPRODUCT((AE$4=CapexSalvageMonth)*SalGain)-SUM(AE46:AE50)</f>
        <v>0</v>
      </c>
      <c r="AF51" s="226" cm="1">
        <f t="array" ref="AF51">SUMPRODUCT((AF$4=CapexSalvageMonth)*SalGain)-SUM(AF46:AF50)</f>
        <v>0</v>
      </c>
      <c r="AG51" s="226" cm="1">
        <f t="array" ref="AG51">SUMPRODUCT((AG$4=CapexSalvageMonth)*SalGain)-SUM(AG46:AG50)</f>
        <v>0</v>
      </c>
      <c r="AH51" s="247" cm="1">
        <f t="array" ref="AH51">SUMPRODUCT((AH$4=CapexSalvageMonth)*SalGain)-SUM(AH46:AH50)</f>
        <v>0</v>
      </c>
      <c r="AI51" s="226" cm="1">
        <f t="array" ref="AI51">SUMPRODUCT((AI$4=CapexSalvageMonth)*SalGain)-SUM(AI46:AI50)</f>
        <v>0</v>
      </c>
      <c r="AJ51" s="226" cm="1">
        <f t="array" ref="AJ51">SUMPRODUCT((AJ$4=CapexSalvageMonth)*SalGain)-SUM(AJ46:AJ50)</f>
        <v>0</v>
      </c>
      <c r="AK51" s="226" cm="1">
        <f t="array" ref="AK51">SUMPRODUCT((AK$4=CapexSalvageMonth)*SalGain)-SUM(AK46:AK50)</f>
        <v>0</v>
      </c>
      <c r="AL51" s="226" cm="1">
        <f t="array" ref="AL51">SUMPRODUCT((AL$4=CapexSalvageMonth)*SalGain)-SUM(AL46:AL50)</f>
        <v>0</v>
      </c>
      <c r="AM51" s="226" cm="1">
        <f t="array" ref="AM51">SUMPRODUCT((AM$4=CapexSalvageMonth)*SalGain)-SUM(AM46:AM50)</f>
        <v>0</v>
      </c>
      <c r="AN51" s="226" cm="1">
        <f t="array" ref="AN51">SUMPRODUCT((AN$4=CapexSalvageMonth)*SalGain)-SUM(AN46:AN50)</f>
        <v>0</v>
      </c>
      <c r="AO51" s="226" cm="1">
        <f t="array" ref="AO51">SUMPRODUCT((AO$4=CapexSalvageMonth)*SalGain)-SUM(AO46:AO50)</f>
        <v>0</v>
      </c>
      <c r="AP51" s="226" cm="1">
        <f t="array" ref="AP51">SUMPRODUCT((AP$4=CapexSalvageMonth)*SalGain)-SUM(AP46:AP50)</f>
        <v>0</v>
      </c>
      <c r="AQ51" s="226" cm="1">
        <f t="array" ref="AQ51">SUMPRODUCT((AQ$4=CapexSalvageMonth)*SalGain)-SUM(AQ46:AQ50)</f>
        <v>0</v>
      </c>
      <c r="AR51" s="226" cm="1">
        <f t="array" ref="AR51">SUMPRODUCT((AR$4=CapexSalvageMonth)*SalGain)-SUM(AR46:AR50)</f>
        <v>0</v>
      </c>
      <c r="AS51" s="226" cm="1">
        <f t="array" ref="AS51">SUMPRODUCT((AS$4=CapexSalvageMonth)*SalGain)-SUM(AS46:AS50)</f>
        <v>0</v>
      </c>
      <c r="AT51" s="247" cm="1">
        <f t="array" ref="AT51">SUMPRODUCT((AT$4=CapexSalvageMonth)*SalGain)-SUM(AT46:AT50)</f>
        <v>0</v>
      </c>
      <c r="AU51" s="226" cm="1">
        <f t="array" ref="AU51">SUMPRODUCT((AU$4=CapexSalvageMonth)*SalGain)-SUM(AU46:AU50)</f>
        <v>0</v>
      </c>
      <c r="AV51" s="226" cm="1">
        <f t="array" ref="AV51">SUMPRODUCT((AV$4=CapexSalvageMonth)*SalGain)-SUM(AV46:AV50)</f>
        <v>0</v>
      </c>
      <c r="AW51" s="226" cm="1">
        <f t="array" ref="AW51">SUMPRODUCT((AW$4=CapexSalvageMonth)*SalGain)-SUM(AW46:AW50)</f>
        <v>0</v>
      </c>
      <c r="AX51" s="226" cm="1">
        <f t="array" ref="AX51">SUMPRODUCT((AX$4=CapexSalvageMonth)*SalGain)-SUM(AX46:AX50)</f>
        <v>0</v>
      </c>
      <c r="AY51" s="226" cm="1">
        <f t="array" ref="AY51">SUMPRODUCT((AY$4=CapexSalvageMonth)*SalGain)-SUM(AY46:AY50)</f>
        <v>0</v>
      </c>
      <c r="AZ51" s="226" cm="1">
        <f t="array" ref="AZ51">SUMPRODUCT((AZ$4=CapexSalvageMonth)*SalGain)-SUM(AZ46:AZ50)</f>
        <v>0</v>
      </c>
      <c r="BA51" s="226" cm="1">
        <f t="array" ref="BA51">SUMPRODUCT((BA$4=CapexSalvageMonth)*SalGain)-SUM(BA46:BA50)</f>
        <v>0</v>
      </c>
      <c r="BB51" s="226" cm="1">
        <f t="array" ref="BB51">SUMPRODUCT((BB$4=CapexSalvageMonth)*SalGain)-SUM(BB46:BB50)</f>
        <v>0</v>
      </c>
      <c r="BC51" s="226" cm="1">
        <f t="array" ref="BC51">SUMPRODUCT((BC$4=CapexSalvageMonth)*SalGain)-SUM(BC46:BC50)</f>
        <v>0</v>
      </c>
      <c r="BD51" s="226" cm="1">
        <f t="array" ref="BD51">SUMPRODUCT((BD$4=CapexSalvageMonth)*SalGain)-SUM(BD46:BD50)</f>
        <v>0</v>
      </c>
      <c r="BE51" s="226" cm="1">
        <f t="array" ref="BE51">SUMPRODUCT((BE$4=CapexSalvageMonth)*SalGain)-SUM(BE46:BE50)</f>
        <v>0</v>
      </c>
      <c r="BF51" s="247" cm="1">
        <f t="array" ref="BF51">SUMPRODUCT((BF$4=CapexSalvageMonth)*SalGain)-SUM(BF46:BF50)</f>
        <v>0</v>
      </c>
      <c r="BG51" s="226" cm="1">
        <f t="array" ref="BG51">SUMPRODUCT((BG$4=CapexSalvageMonth)*SalGain)-SUM(BG46:BG50)</f>
        <v>0</v>
      </c>
      <c r="BH51" s="226" cm="1">
        <f t="array" ref="BH51">SUMPRODUCT((BH$4=CapexSalvageMonth)*SalGain)-SUM(BH46:BH50)</f>
        <v>0</v>
      </c>
      <c r="BI51" s="226" cm="1">
        <f t="array" ref="BI51">SUMPRODUCT((BI$4=CapexSalvageMonth)*SalGain)-SUM(BI46:BI50)</f>
        <v>0</v>
      </c>
      <c r="BJ51" s="226" cm="1">
        <f t="array" ref="BJ51">SUMPRODUCT((BJ$4=CapexSalvageMonth)*SalGain)-SUM(BJ46:BJ50)</f>
        <v>0</v>
      </c>
      <c r="BK51" s="226" cm="1">
        <f t="array" ref="BK51">SUMPRODUCT((BK$4=CapexSalvageMonth)*SalGain)-SUM(BK46:BK50)</f>
        <v>0</v>
      </c>
      <c r="BL51" s="226" cm="1">
        <f t="array" ref="BL51">SUMPRODUCT((BL$4=CapexSalvageMonth)*SalGain)-SUM(BL46:BL50)</f>
        <v>0</v>
      </c>
      <c r="BM51" s="226" cm="1">
        <f t="array" ref="BM51">SUMPRODUCT((BM$4=CapexSalvageMonth)*SalGain)-SUM(BM46:BM50)</f>
        <v>0</v>
      </c>
      <c r="BN51" s="226" cm="1">
        <f t="array" ref="BN51">SUMPRODUCT((BN$4=CapexSalvageMonth)*SalGain)-SUM(BN46:BN50)</f>
        <v>0</v>
      </c>
      <c r="BO51" s="226" cm="1">
        <f t="array" ref="BO51">SUMPRODUCT((BO$4=CapexSalvageMonth)*SalGain)-SUM(BO46:BO50)</f>
        <v>0</v>
      </c>
      <c r="BP51" s="226" cm="1">
        <f t="array" ref="BP51">SUMPRODUCT((BP$4=CapexSalvageMonth)*SalGain)-SUM(BP46:BP50)</f>
        <v>0</v>
      </c>
      <c r="BQ51" s="226" cm="1">
        <f t="array" ref="BQ51">SUMPRODUCT((BQ$4=CapexSalvageMonth)*SalGain)-SUM(BQ46:BQ50)</f>
        <v>0</v>
      </c>
      <c r="BR51" s="247" cm="1">
        <f t="array" ref="BR51">SUMPRODUCT((BR$4=CapexSalvageMonth)*SalGain)-SUM(BR46:BR50)</f>
        <v>0</v>
      </c>
    </row>
    <row r="52" spans="1:70" s="175" customFormat="1" ht="13.2" x14ac:dyDescent="0.3">
      <c r="A52" s="40"/>
      <c r="B52" s="13"/>
      <c r="C52" s="175" t="s">
        <v>227</v>
      </c>
      <c r="D52" s="199"/>
      <c r="E52" s="222">
        <f t="shared" si="40"/>
        <v>-32</v>
      </c>
      <c r="F52" s="222">
        <f t="shared" si="41"/>
        <v>0</v>
      </c>
      <c r="G52" s="222">
        <f t="shared" si="42"/>
        <v>0</v>
      </c>
      <c r="H52" s="222">
        <f t="shared" si="43"/>
        <v>0</v>
      </c>
      <c r="I52" s="222">
        <f t="shared" si="44"/>
        <v>10</v>
      </c>
      <c r="J52" s="264"/>
      <c r="K52" s="268">
        <f>SUM(K46:K51)</f>
        <v>0</v>
      </c>
      <c r="L52" s="268">
        <f t="shared" ref="L52:BR52" si="45">SUM(L46:L51)</f>
        <v>0</v>
      </c>
      <c r="M52" s="268">
        <f t="shared" si="45"/>
        <v>0</v>
      </c>
      <c r="N52" s="268">
        <f t="shared" si="45"/>
        <v>0</v>
      </c>
      <c r="O52" s="268">
        <f t="shared" si="45"/>
        <v>0</v>
      </c>
      <c r="P52" s="268">
        <f t="shared" si="45"/>
        <v>0</v>
      </c>
      <c r="Q52" s="268">
        <f t="shared" si="45"/>
        <v>0</v>
      </c>
      <c r="R52" s="268">
        <f t="shared" si="45"/>
        <v>0</v>
      </c>
      <c r="S52" s="268">
        <f t="shared" si="45"/>
        <v>0</v>
      </c>
      <c r="T52" s="268">
        <f t="shared" si="45"/>
        <v>0</v>
      </c>
      <c r="U52" s="268">
        <f t="shared" si="45"/>
        <v>0</v>
      </c>
      <c r="V52" s="222">
        <f t="shared" si="45"/>
        <v>-32</v>
      </c>
      <c r="W52" s="268">
        <f t="shared" si="45"/>
        <v>0</v>
      </c>
      <c r="X52" s="268">
        <f t="shared" si="45"/>
        <v>0</v>
      </c>
      <c r="Y52" s="268">
        <f t="shared" si="45"/>
        <v>0</v>
      </c>
      <c r="Z52" s="268">
        <f t="shared" si="45"/>
        <v>0</v>
      </c>
      <c r="AA52" s="268">
        <f t="shared" si="45"/>
        <v>0</v>
      </c>
      <c r="AB52" s="268">
        <f t="shared" si="45"/>
        <v>0</v>
      </c>
      <c r="AC52" s="268">
        <f t="shared" si="45"/>
        <v>0</v>
      </c>
      <c r="AD52" s="268">
        <f t="shared" si="45"/>
        <v>0</v>
      </c>
      <c r="AE52" s="268">
        <f t="shared" si="45"/>
        <v>0</v>
      </c>
      <c r="AF52" s="268">
        <f t="shared" si="45"/>
        <v>0</v>
      </c>
      <c r="AG52" s="268">
        <f t="shared" si="45"/>
        <v>0</v>
      </c>
      <c r="AH52" s="222">
        <f t="shared" si="45"/>
        <v>0</v>
      </c>
      <c r="AI52" s="268">
        <f t="shared" si="45"/>
        <v>0</v>
      </c>
      <c r="AJ52" s="268">
        <f t="shared" si="45"/>
        <v>0</v>
      </c>
      <c r="AK52" s="268">
        <f t="shared" si="45"/>
        <v>0</v>
      </c>
      <c r="AL52" s="268">
        <f t="shared" si="45"/>
        <v>0</v>
      </c>
      <c r="AM52" s="268">
        <f t="shared" si="45"/>
        <v>0</v>
      </c>
      <c r="AN52" s="268">
        <f t="shared" si="45"/>
        <v>0</v>
      </c>
      <c r="AO52" s="268">
        <f t="shared" si="45"/>
        <v>0</v>
      </c>
      <c r="AP52" s="268">
        <f t="shared" si="45"/>
        <v>0</v>
      </c>
      <c r="AQ52" s="268">
        <f t="shared" si="45"/>
        <v>0</v>
      </c>
      <c r="AR52" s="268">
        <f t="shared" si="45"/>
        <v>0</v>
      </c>
      <c r="AS52" s="268">
        <f t="shared" si="45"/>
        <v>0</v>
      </c>
      <c r="AT52" s="222">
        <f t="shared" si="45"/>
        <v>0</v>
      </c>
      <c r="AU52" s="268">
        <f t="shared" si="45"/>
        <v>0</v>
      </c>
      <c r="AV52" s="268">
        <f t="shared" si="45"/>
        <v>0</v>
      </c>
      <c r="AW52" s="268">
        <f t="shared" si="45"/>
        <v>0</v>
      </c>
      <c r="AX52" s="268">
        <f t="shared" si="45"/>
        <v>0</v>
      </c>
      <c r="AY52" s="268">
        <f t="shared" si="45"/>
        <v>0</v>
      </c>
      <c r="AZ52" s="268">
        <f t="shared" si="45"/>
        <v>0</v>
      </c>
      <c r="BA52" s="268">
        <f t="shared" si="45"/>
        <v>0</v>
      </c>
      <c r="BB52" s="268">
        <f t="shared" si="45"/>
        <v>0</v>
      </c>
      <c r="BC52" s="268">
        <f t="shared" si="45"/>
        <v>0</v>
      </c>
      <c r="BD52" s="268">
        <f t="shared" si="45"/>
        <v>0</v>
      </c>
      <c r="BE52" s="268">
        <f t="shared" si="45"/>
        <v>0</v>
      </c>
      <c r="BF52" s="222">
        <f t="shared" si="45"/>
        <v>0</v>
      </c>
      <c r="BG52" s="268">
        <f t="shared" si="45"/>
        <v>0</v>
      </c>
      <c r="BH52" s="268">
        <f t="shared" si="45"/>
        <v>0</v>
      </c>
      <c r="BI52" s="268">
        <f t="shared" si="45"/>
        <v>0</v>
      </c>
      <c r="BJ52" s="268">
        <f t="shared" si="45"/>
        <v>0</v>
      </c>
      <c r="BK52" s="268">
        <f t="shared" si="45"/>
        <v>0</v>
      </c>
      <c r="BL52" s="268">
        <f t="shared" si="45"/>
        <v>0</v>
      </c>
      <c r="BM52" s="268">
        <f t="shared" si="45"/>
        <v>15</v>
      </c>
      <c r="BN52" s="268">
        <f t="shared" si="45"/>
        <v>0</v>
      </c>
      <c r="BO52" s="268">
        <f t="shared" si="45"/>
        <v>0</v>
      </c>
      <c r="BP52" s="268">
        <f t="shared" si="45"/>
        <v>-5</v>
      </c>
      <c r="BQ52" s="268">
        <f t="shared" si="45"/>
        <v>0</v>
      </c>
      <c r="BR52" s="222">
        <f t="shared" si="45"/>
        <v>0</v>
      </c>
    </row>
  </sheetData>
  <sheetProtection algorithmName="SHA-512" hashValue="AuzIpn6VnO54keXHZOLrbHJ8dKTW3yw77IxvFrDRvbNFaoTqRCg5udA7Ypf5Q0G0a0tM6iGGC5P4AUp4sYrhnQ==" saltValue="P8gk8AO9SqZhKGx+QWWqBQ==" spinCount="100000" sheet="1" objects="1" scenarios="1" selectLockedCells="1" selectUnlockedCells="1"/>
  <mergeCells count="1">
    <mergeCell ref="C3:C4"/>
  </mergeCells>
  <pageMargins left="0.7" right="0.7" top="0.75" bottom="0.75" header="0.3" footer="0.3"/>
  <pageSetup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52693-D004-449D-B756-C33999A6C2ED}">
  <sheetPr codeName="Sheet5">
    <tabColor theme="9" tint="0.79998168889431442"/>
    <outlinePr showOutlineSymbols="0"/>
  </sheetPr>
  <dimension ref="A1:BR29"/>
  <sheetViews>
    <sheetView showGridLines="0" showRowColHeaders="0" showZeros="0" showOutlineSymbols="0" workbookViewId="0">
      <pane xSplit="3" ySplit="4" topLeftCell="D5" activePane="bottomRight" state="frozen"/>
      <selection activeCell="I17" sqref="I17"/>
      <selection pane="topRight" activeCell="I17" sqref="I17"/>
      <selection pane="bottomLeft" activeCell="I17" sqref="I17"/>
      <selection pane="bottomRight"/>
    </sheetView>
  </sheetViews>
  <sheetFormatPr defaultColWidth="9.109375" defaultRowHeight="12.6" x14ac:dyDescent="0.25"/>
  <cols>
    <col min="1" max="1" width="3" style="5" customWidth="1"/>
    <col min="2" max="2" width="1.6640625" style="5" customWidth="1"/>
    <col min="3" max="3" width="22" style="34" customWidth="1"/>
    <col min="4" max="4" width="1.109375" style="34" customWidth="1"/>
    <col min="5" max="9" width="8.33203125" style="34" customWidth="1"/>
    <col min="10" max="10" width="2.21875" style="34" customWidth="1"/>
    <col min="11" max="70" width="8.33203125" style="34" customWidth="1"/>
    <col min="71" max="16384" width="9.109375" style="34"/>
  </cols>
  <sheetData>
    <row r="1" spans="1:70" s="2" customFormat="1" ht="10.199999999999999" x14ac:dyDescent="0.2">
      <c r="A1" s="1" t="s">
        <v>0</v>
      </c>
      <c r="N1" s="3"/>
      <c r="R1" s="4"/>
      <c r="T1" s="4"/>
    </row>
    <row r="2" spans="1:70" s="5" customFormat="1" ht="10.199999999999999" x14ac:dyDescent="0.2">
      <c r="D2" s="37"/>
      <c r="E2" s="37"/>
      <c r="F2" s="37"/>
      <c r="G2" s="37"/>
      <c r="H2" s="37"/>
      <c r="I2" s="37"/>
    </row>
    <row r="3" spans="1:70" s="5" customFormat="1" ht="21" customHeight="1" x14ac:dyDescent="0.2">
      <c r="C3" s="579" t="s">
        <v>211</v>
      </c>
      <c r="D3" s="37"/>
      <c r="H3" s="37"/>
      <c r="I3" s="37"/>
    </row>
    <row r="4" spans="1:70" s="14" customFormat="1" ht="13.8" x14ac:dyDescent="0.3">
      <c r="A4" s="40"/>
      <c r="C4" s="579"/>
      <c r="D4" s="42"/>
      <c r="E4" s="172">
        <v>1</v>
      </c>
      <c r="F4" s="172">
        <v>2</v>
      </c>
      <c r="G4" s="172">
        <v>3</v>
      </c>
      <c r="H4" s="172">
        <v>4</v>
      </c>
      <c r="I4" s="172">
        <v>5</v>
      </c>
      <c r="J4" s="239"/>
      <c r="K4" s="10">
        <v>1</v>
      </c>
      <c r="L4" s="10">
        <v>2</v>
      </c>
      <c r="M4" s="10">
        <v>3</v>
      </c>
      <c r="N4" s="10">
        <v>4</v>
      </c>
      <c r="O4" s="10">
        <v>5</v>
      </c>
      <c r="P4" s="10">
        <v>6</v>
      </c>
      <c r="Q4" s="10">
        <v>7</v>
      </c>
      <c r="R4" s="10">
        <v>8</v>
      </c>
      <c r="S4" s="10">
        <v>9</v>
      </c>
      <c r="T4" s="10">
        <v>10</v>
      </c>
      <c r="U4" s="10">
        <v>11</v>
      </c>
      <c r="V4" s="173">
        <v>12</v>
      </c>
      <c r="W4" s="10">
        <v>13</v>
      </c>
      <c r="X4" s="10">
        <v>14</v>
      </c>
      <c r="Y4" s="10">
        <v>15</v>
      </c>
      <c r="Z4" s="10">
        <v>16</v>
      </c>
      <c r="AA4" s="10">
        <v>17</v>
      </c>
      <c r="AB4" s="10">
        <v>18</v>
      </c>
      <c r="AC4" s="10">
        <v>19</v>
      </c>
      <c r="AD4" s="10">
        <v>20</v>
      </c>
      <c r="AE4" s="10">
        <v>21</v>
      </c>
      <c r="AF4" s="10">
        <v>22</v>
      </c>
      <c r="AG4" s="10">
        <v>23</v>
      </c>
      <c r="AH4" s="173">
        <v>24</v>
      </c>
      <c r="AI4" s="10">
        <v>25</v>
      </c>
      <c r="AJ4" s="10">
        <v>26</v>
      </c>
      <c r="AK4" s="10">
        <v>27</v>
      </c>
      <c r="AL4" s="10">
        <v>28</v>
      </c>
      <c r="AM4" s="10">
        <v>29</v>
      </c>
      <c r="AN4" s="10">
        <v>30</v>
      </c>
      <c r="AO4" s="10">
        <v>31</v>
      </c>
      <c r="AP4" s="10">
        <v>32</v>
      </c>
      <c r="AQ4" s="10">
        <v>33</v>
      </c>
      <c r="AR4" s="10">
        <v>34</v>
      </c>
      <c r="AS4" s="10">
        <v>35</v>
      </c>
      <c r="AT4" s="173">
        <v>36</v>
      </c>
      <c r="AU4" s="10">
        <v>37</v>
      </c>
      <c r="AV4" s="10">
        <v>38</v>
      </c>
      <c r="AW4" s="10">
        <v>39</v>
      </c>
      <c r="AX4" s="10">
        <v>40</v>
      </c>
      <c r="AY4" s="10">
        <v>41</v>
      </c>
      <c r="AZ4" s="10">
        <v>42</v>
      </c>
      <c r="BA4" s="10">
        <v>43</v>
      </c>
      <c r="BB4" s="10">
        <v>44</v>
      </c>
      <c r="BC4" s="10">
        <v>45</v>
      </c>
      <c r="BD4" s="10">
        <v>46</v>
      </c>
      <c r="BE4" s="10">
        <v>47</v>
      </c>
      <c r="BF4" s="173">
        <v>48</v>
      </c>
      <c r="BG4" s="10">
        <v>49</v>
      </c>
      <c r="BH4" s="10">
        <v>50</v>
      </c>
      <c r="BI4" s="10">
        <v>51</v>
      </c>
      <c r="BJ4" s="10">
        <v>52</v>
      </c>
      <c r="BK4" s="10">
        <v>53</v>
      </c>
      <c r="BL4" s="10">
        <v>54</v>
      </c>
      <c r="BM4" s="10">
        <v>55</v>
      </c>
      <c r="BN4" s="10">
        <v>56</v>
      </c>
      <c r="BO4" s="10">
        <v>57</v>
      </c>
      <c r="BP4" s="10">
        <v>58</v>
      </c>
      <c r="BQ4" s="10">
        <v>59</v>
      </c>
      <c r="BR4" s="173">
        <v>60</v>
      </c>
    </row>
    <row r="5" spans="1:70" s="14" customFormat="1" ht="6" customHeight="1" x14ac:dyDescent="0.25">
      <c r="A5" s="13"/>
      <c r="B5" s="201"/>
      <c r="E5" s="174"/>
      <c r="F5" s="174"/>
      <c r="G5" s="174"/>
      <c r="H5" s="174"/>
      <c r="I5" s="174"/>
      <c r="J5" s="210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74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74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74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74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74"/>
    </row>
    <row r="6" spans="1:70" s="14" customFormat="1" hidden="1" x14ac:dyDescent="0.25">
      <c r="A6" s="13"/>
      <c r="B6" s="175" t="s">
        <v>34</v>
      </c>
      <c r="D6" s="34"/>
      <c r="S6" s="14">
        <f>R44</f>
        <v>0</v>
      </c>
    </row>
    <row r="7" spans="1:70" s="14" customFormat="1" ht="13.2" x14ac:dyDescent="0.3">
      <c r="A7" s="13"/>
      <c r="C7" s="185" t="s">
        <v>55</v>
      </c>
      <c r="E7" s="211">
        <f ca="1">SUM(K7:V7)</f>
        <v>5569.9439058338949</v>
      </c>
      <c r="F7" s="211">
        <f ca="1">SUM(W7:AH7)</f>
        <v>6058.7187124938164</v>
      </c>
      <c r="G7" s="211">
        <f ca="1">SUM(AI7:AT7)</f>
        <v>6590.3845815529903</v>
      </c>
      <c r="H7" s="211">
        <f ca="1">SUM(AU7:BF7)</f>
        <v>7168.7052979051286</v>
      </c>
      <c r="I7" s="211">
        <f ca="1">SUM(BG7:BR7)</f>
        <v>7797.7749268318439</v>
      </c>
      <c r="J7" s="248"/>
      <c r="K7" s="212">
        <f ca="1">Summary!CO9*Summary!CO10</f>
        <v>446.47746364271467</v>
      </c>
      <c r="L7" s="213">
        <f ca="1">Summary!CP9*Summary!CP10</f>
        <v>449.61801756418254</v>
      </c>
      <c r="M7" s="213">
        <f ca="1">Summary!CQ9*Summary!CQ10</f>
        <v>452.7806623631007</v>
      </c>
      <c r="N7" s="213">
        <f ca="1">Summary!CR9*Summary!CR10</f>
        <v>455.96555342825684</v>
      </c>
      <c r="O7" s="213">
        <f ca="1">Summary!CS9*Summary!CS10</f>
        <v>459.17284724145435</v>
      </c>
      <c r="P7" s="213">
        <f ca="1">Summary!CT9*Summary!CT10</f>
        <v>462.40270138520054</v>
      </c>
      <c r="Q7" s="213">
        <f ca="1">Summary!CU9*Summary!CU10</f>
        <v>465.65527455044929</v>
      </c>
      <c r="R7" s="213">
        <f ca="1">Summary!CV9*Summary!CV10</f>
        <v>468.93072654439777</v>
      </c>
      <c r="S7" s="213">
        <f ca="1">Summary!CW9*Summary!CW10</f>
        <v>472.22921829833831</v>
      </c>
      <c r="T7" s="213">
        <f ca="1">Summary!CX9*Summary!CX10</f>
        <v>475.55091187556519</v>
      </c>
      <c r="U7" s="213">
        <f ca="1">Summary!CY9*Summary!CY10</f>
        <v>478.89597047933745</v>
      </c>
      <c r="V7" s="211">
        <f ca="1">Summary!CZ9*Summary!CZ10</f>
        <v>482.26455846089681</v>
      </c>
      <c r="W7" s="212">
        <f ca="1">Summary!DA9*Summary!DA10</f>
        <v>485.65684132754421</v>
      </c>
      <c r="X7" s="213">
        <f ca="1">Summary!DB9*Summary!DB10</f>
        <v>489.07298575076959</v>
      </c>
      <c r="Y7" s="213">
        <f ca="1">Summary!DC9*Summary!DC10</f>
        <v>492.51315957444262</v>
      </c>
      <c r="Z7" s="213">
        <f ca="1">Summary!DD9*Summary!DD10</f>
        <v>495.97753182305809</v>
      </c>
      <c r="AA7" s="213">
        <f ca="1">Summary!DE9*Summary!DE10</f>
        <v>499.4662727100411</v>
      </c>
      <c r="AB7" s="213">
        <f ca="1">Summary!DF9*Summary!DF10</f>
        <v>502.97955364611022</v>
      </c>
      <c r="AC7" s="213">
        <f ca="1">Summary!DG9*Summary!DG10</f>
        <v>506.51754724769887</v>
      </c>
      <c r="AD7" s="213">
        <f ca="1">Summary!DH9*Summary!DH10</f>
        <v>510.08042734543659</v>
      </c>
      <c r="AE7" s="213">
        <f ca="1">Summary!DI9*Summary!DI10</f>
        <v>513.66836899268992</v>
      </c>
      <c r="AF7" s="213">
        <f ca="1">Summary!DJ9*Summary!DJ10</f>
        <v>517.28154847416306</v>
      </c>
      <c r="AG7" s="213">
        <f ca="1">Summary!DK9*Summary!DK10</f>
        <v>520.92014331455903</v>
      </c>
      <c r="AH7" s="211">
        <f ca="1">Summary!DL9*Summary!DL10</f>
        <v>524.58433228730257</v>
      </c>
      <c r="AI7" s="212">
        <f ca="1">Summary!DM9*Summary!DM10</f>
        <v>528.274295423323</v>
      </c>
      <c r="AJ7" s="213">
        <f ca="1">Summary!DN9*Summary!DN10</f>
        <v>531.99021401989967</v>
      </c>
      <c r="AK7" s="213">
        <f ca="1">Summary!DO9*Summary!DO10</f>
        <v>535.73227064957041</v>
      </c>
      <c r="AL7" s="213">
        <f ca="1">Summary!DP9*Summary!DP10</f>
        <v>539.50064916910014</v>
      </c>
      <c r="AM7" s="213">
        <f ca="1">Summary!DQ9*Summary!DQ10</f>
        <v>543.29553472851637</v>
      </c>
      <c r="AN7" s="213">
        <f ca="1">Summary!DR9*Summary!DR10</f>
        <v>547.11711378020402</v>
      </c>
      <c r="AO7" s="213">
        <f ca="1">Summary!DS9*Summary!DS10</f>
        <v>550.96557408806757</v>
      </c>
      <c r="AP7" s="213">
        <f ca="1">Summary!DT9*Summary!DT10</f>
        <v>554.84110473675617</v>
      </c>
      <c r="AQ7" s="213">
        <f ca="1">Summary!DU9*Summary!DU10</f>
        <v>558.74389614095321</v>
      </c>
      <c r="AR7" s="213">
        <f ca="1">Summary!DV9*Summary!DV10</f>
        <v>562.67414005473324</v>
      </c>
      <c r="AS7" s="213">
        <f ca="1">Summary!DW9*Summary!DW10</f>
        <v>566.63202958098168</v>
      </c>
      <c r="AT7" s="211">
        <f ca="1">Summary!DX9*Summary!DX10</f>
        <v>570.61775918088347</v>
      </c>
      <c r="AU7" s="212">
        <f ca="1">Summary!DY9*Summary!DY10</f>
        <v>574.63152468347732</v>
      </c>
      <c r="AV7" s="213">
        <f ca="1">Summary!DZ9*Summary!DZ10</f>
        <v>578.67352329527716</v>
      </c>
      <c r="AW7" s="213">
        <f ca="1">Summary!EA9*Summary!EA10</f>
        <v>582.74395360996141</v>
      </c>
      <c r="AX7" s="213">
        <f ca="1">Summary!EB9*Summary!EB10</f>
        <v>586.84301561813015</v>
      </c>
      <c r="AY7" s="213">
        <f ca="1">Summary!EC9*Summary!EC10</f>
        <v>590.97091071713203</v>
      </c>
      <c r="AZ7" s="213">
        <f ca="1">Summary!ED9*Summary!ED10</f>
        <v>595.12784172095837</v>
      </c>
      <c r="BA7" s="213">
        <f ca="1">Summary!EE9*Summary!EE10</f>
        <v>599.31401287020844</v>
      </c>
      <c r="BB7" s="213">
        <f ca="1">Summary!EF9*Summary!EF10</f>
        <v>603.52962984212411</v>
      </c>
      <c r="BC7" s="213">
        <f ca="1">Summary!EG9*Summary!EG10</f>
        <v>607.77489976069614</v>
      </c>
      <c r="BD7" s="213">
        <f ca="1">Summary!EH9*Summary!EH10</f>
        <v>612.05003120683932</v>
      </c>
      <c r="BE7" s="213">
        <f ca="1">Summary!EI9*Summary!EI10</f>
        <v>616.35523422864151</v>
      </c>
      <c r="BF7" s="211">
        <f ca="1">Summary!EJ9*Summary!EJ10</f>
        <v>620.69072035168358</v>
      </c>
      <c r="BG7" s="212">
        <f ca="1">Summary!EK9*Summary!EK10</f>
        <v>625.05670258943223</v>
      </c>
      <c r="BH7" s="213">
        <f ca="1">Summary!EL9*Summary!EL10</f>
        <v>629.45339545370609</v>
      </c>
      <c r="BI7" s="213">
        <f ca="1">Summary!EM9*Summary!EM10</f>
        <v>633.88101496521483</v>
      </c>
      <c r="BJ7" s="213">
        <f ca="1">Summary!EN9*Summary!EN10</f>
        <v>638.33977866417274</v>
      </c>
      <c r="BK7" s="213">
        <f ca="1">Summary!EO9*Summary!EO10</f>
        <v>642.82990562098814</v>
      </c>
      <c r="BL7" s="213">
        <f ca="1">Summary!EP9*Summary!EP10</f>
        <v>647.35161644702521</v>
      </c>
      <c r="BM7" s="213">
        <f ca="1">Summary!EQ9*Summary!EQ10</f>
        <v>651.90513330544422</v>
      </c>
      <c r="BN7" s="213">
        <f ca="1">Summary!ER9*Summary!ER10</f>
        <v>656.4906799221169</v>
      </c>
      <c r="BO7" s="213">
        <f ca="1">Summary!ES9*Summary!ES10</f>
        <v>661.10848159661816</v>
      </c>
      <c r="BP7" s="213">
        <f ca="1">Summary!ET9*Summary!ET10</f>
        <v>665.75876521329678</v>
      </c>
      <c r="BQ7" s="213">
        <f ca="1">Summary!EU9*Summary!EU10</f>
        <v>670.44175925242143</v>
      </c>
      <c r="BR7" s="211">
        <f ca="1">Summary!EV9*Summary!EV10</f>
        <v>675.15769380140648</v>
      </c>
    </row>
    <row r="8" spans="1:70" s="14" customFormat="1" ht="13.2" x14ac:dyDescent="0.3">
      <c r="A8" s="13"/>
      <c r="C8" s="178" t="s">
        <v>47</v>
      </c>
      <c r="E8" s="215">
        <f ca="1">SUM(K8:V8)</f>
        <v>4147.6628414001207</v>
      </c>
      <c r="F8" s="215">
        <f ca="1">SUM(W8:AH8)</f>
        <v>4484.2226222589534</v>
      </c>
      <c r="G8" s="215">
        <f ca="1">SUM(AI8:AT8)</f>
        <v>4848.0923582474816</v>
      </c>
      <c r="H8" s="215">
        <f ca="1">SUM(AU8:BF8)</f>
        <v>5241.4881003961727</v>
      </c>
      <c r="I8" s="215">
        <f ca="1">SUM(BG8:BR8)</f>
        <v>5666.8057199565937</v>
      </c>
      <c r="J8" s="248"/>
      <c r="K8" s="216">
        <f ca="1">Summary!CO11*Summary!CO9</f>
        <v>333.41319382829511</v>
      </c>
      <c r="L8" s="216">
        <f ca="1">Summary!CP11*Summary!CP9</f>
        <v>335.5880016584685</v>
      </c>
      <c r="M8" s="216">
        <f ca="1">Summary!CQ11*Summary!CQ9</f>
        <v>337.77699545724107</v>
      </c>
      <c r="N8" s="216">
        <f ca="1">Summary!CR11*Summary!CR9</f>
        <v>339.98026775771029</v>
      </c>
      <c r="O8" s="216">
        <f ca="1">Summary!CS11*Summary!CS9</f>
        <v>342.19791169655429</v>
      </c>
      <c r="P8" s="216">
        <f ca="1">Summary!CT11*Summary!CT9</f>
        <v>344.43002101796861</v>
      </c>
      <c r="Q8" s="216">
        <f ca="1">Summary!CU11*Summary!CU9</f>
        <v>346.67669007762925</v>
      </c>
      <c r="R8" s="216">
        <f ca="1">Summary!CV11*Summary!CV9</f>
        <v>348.93801384668114</v>
      </c>
      <c r="S8" s="216">
        <f ca="1">Summary!CW11*Summary!CW9</f>
        <v>351.21408791575266</v>
      </c>
      <c r="T8" s="216">
        <f ca="1">Summary!CX11*Summary!CX9</f>
        <v>353.50500849899674</v>
      </c>
      <c r="U8" s="216">
        <f ca="1">Summary!CY11*Summary!CY9</f>
        <v>355.81087243815779</v>
      </c>
      <c r="V8" s="215">
        <f ca="1">Summary!CZ11*Summary!CZ9</f>
        <v>358.13177720666499</v>
      </c>
      <c r="W8" s="216">
        <f ca="1">Summary!DA11*Summary!DA9</f>
        <v>360.46782091375388</v>
      </c>
      <c r="X8" s="216">
        <f ca="1">Summary!DB11*Summary!DB9</f>
        <v>362.81910230861229</v>
      </c>
      <c r="Y8" s="216">
        <f ca="1">Summary!DC11*Summary!DC9</f>
        <v>365.18572078455543</v>
      </c>
      <c r="Z8" s="216">
        <f ca="1">Summary!DD11*Summary!DD9</f>
        <v>367.56777638322734</v>
      </c>
      <c r="AA8" s="216">
        <f ca="1">Summary!DE11*Summary!DE9</f>
        <v>369.96536979882967</v>
      </c>
      <c r="AB8" s="216">
        <f ca="1">Summary!DF11*Summary!DF9</f>
        <v>372.3786023823784</v>
      </c>
      <c r="AC8" s="216">
        <f ca="1">Summary!DG11*Summary!DG9</f>
        <v>374.80757614598809</v>
      </c>
      <c r="AD8" s="216">
        <f ca="1">Summary!DH11*Summary!DH9</f>
        <v>377.25239376718389</v>
      </c>
      <c r="AE8" s="216">
        <f ca="1">Summary!DI11*Summary!DI9</f>
        <v>379.71315859324255</v>
      </c>
      <c r="AF8" s="216">
        <f ca="1">Summary!DJ11*Summary!DJ9</f>
        <v>382.18997464556037</v>
      </c>
      <c r="AG8" s="216">
        <f ca="1">Summary!DK11*Summary!DK9</f>
        <v>384.68294662405083</v>
      </c>
      <c r="AH8" s="215">
        <f ca="1">Summary!DL11*Summary!DL9</f>
        <v>387.19217991157035</v>
      </c>
      <c r="AI8" s="216">
        <f ca="1">Summary!DM11*Summary!DM9</f>
        <v>389.71778057837315</v>
      </c>
      <c r="AJ8" s="216">
        <f ca="1">Summary!DN11*Summary!DN9</f>
        <v>392.25985538659484</v>
      </c>
      <c r="AK8" s="216">
        <f ca="1">Summary!DO11*Summary!DO9</f>
        <v>394.8185117947657</v>
      </c>
      <c r="AL8" s="216">
        <f ca="1">Summary!DP11*Summary!DP9</f>
        <v>397.39385796235274</v>
      </c>
      <c r="AM8" s="216">
        <f ca="1">Summary!DQ11*Summary!DQ9</f>
        <v>399.98600275433256</v>
      </c>
      <c r="AN8" s="216">
        <f ca="1">Summary!DR11*Summary!DR9</f>
        <v>402.59505574579237</v>
      </c>
      <c r="AO8" s="216">
        <f ca="1">Summary!DS11*Summary!DS9</f>
        <v>405.22112722656271</v>
      </c>
      <c r="AP8" s="216">
        <f ca="1">Summary!DT11*Summary!DT9</f>
        <v>407.86432820587936</v>
      </c>
      <c r="AQ8" s="216">
        <f ca="1">Summary!DU11*Summary!DU9</f>
        <v>410.5247704170755</v>
      </c>
      <c r="AR8" s="216">
        <f ca="1">Summary!DV11*Summary!DV9</f>
        <v>413.20256632230593</v>
      </c>
      <c r="AS8" s="216">
        <f ca="1">Summary!DW11*Summary!DW9</f>
        <v>415.89782911729986</v>
      </c>
      <c r="AT8" s="215">
        <f ca="1">Summary!DX11*Summary!DX9</f>
        <v>418.61067273614668</v>
      </c>
      <c r="AU8" s="216">
        <f ca="1">Summary!DY11*Summary!DY9</f>
        <v>421.34121185611201</v>
      </c>
      <c r="AV8" s="216">
        <f ca="1">Summary!DZ11*Summary!DZ9</f>
        <v>424.08956190248523</v>
      </c>
      <c r="AW8" s="216">
        <f ca="1">Summary!EA11*Summary!EA9</f>
        <v>426.85583905345879</v>
      </c>
      <c r="AX8" s="216">
        <f ca="1">Summary!EB11*Summary!EB9</f>
        <v>429.64016024503934</v>
      </c>
      <c r="AY8" s="216">
        <f ca="1">Summary!EC11*Summary!EC9</f>
        <v>432.44264317599095</v>
      </c>
      <c r="AZ8" s="216">
        <f ca="1">Summary!ED11*Summary!ED9</f>
        <v>435.26340631281028</v>
      </c>
      <c r="BA8" s="216">
        <f ca="1">Summary!EE11*Summary!EE9</f>
        <v>438.1025688947343</v>
      </c>
      <c r="BB8" s="216">
        <f ca="1">Summary!EF11*Summary!EF9</f>
        <v>440.96025093878075</v>
      </c>
      <c r="BC8" s="216">
        <f ca="1">Summary!EG11*Summary!EG9</f>
        <v>443.83657324482249</v>
      </c>
      <c r="BD8" s="216">
        <f ca="1">Summary!EH11*Summary!EH9</f>
        <v>446.73165740069209</v>
      </c>
      <c r="BE8" s="216">
        <f ca="1">Summary!EI11*Summary!EI9</f>
        <v>449.64562578732324</v>
      </c>
      <c r="BF8" s="215">
        <f ca="1">Summary!EJ11*Summary!EJ9</f>
        <v>452.57860158392327</v>
      </c>
      <c r="BG8" s="216">
        <f ca="1">Summary!EK11*Summary!EK9</f>
        <v>455.53070877318021</v>
      </c>
      <c r="BH8" s="216">
        <f ca="1">Summary!EL11*Summary!EL9</f>
        <v>458.50207214650419</v>
      </c>
      <c r="BI8" s="216">
        <f ca="1">Summary!EM11*Summary!EM9</f>
        <v>461.49281730930204</v>
      </c>
      <c r="BJ8" s="216">
        <f ca="1">Summary!EN11*Summary!EN9</f>
        <v>464.50307068628717</v>
      </c>
      <c r="BK8" s="216">
        <f ca="1">Summary!EO11*Summary!EO9</f>
        <v>467.53295952682424</v>
      </c>
      <c r="BL8" s="216">
        <f ca="1">Summary!EP11*Summary!EP9</f>
        <v>470.58261191030704</v>
      </c>
      <c r="BM8" s="216">
        <f ca="1">Summary!EQ11*Summary!EQ9</f>
        <v>473.65215675157407</v>
      </c>
      <c r="BN8" s="216">
        <f ca="1">Summary!ER11*Summary!ER9</f>
        <v>476.7417238063569</v>
      </c>
      <c r="BO8" s="216">
        <f ca="1">Summary!ES11*Summary!ES9</f>
        <v>479.851443676766</v>
      </c>
      <c r="BP8" s="216">
        <f ca="1">Summary!ET11*Summary!ET9</f>
        <v>482.98144781681123</v>
      </c>
      <c r="BQ8" s="216">
        <f ca="1">Summary!EU11*Summary!EU9</f>
        <v>486.13186853795844</v>
      </c>
      <c r="BR8" s="215">
        <f ca="1">Summary!EV11*Summary!EV9</f>
        <v>489.30283901472251</v>
      </c>
    </row>
    <row r="9" spans="1:70" s="175" customFormat="1" ht="13.2" x14ac:dyDescent="0.3">
      <c r="A9" s="40"/>
      <c r="C9" s="175" t="s">
        <v>212</v>
      </c>
      <c r="D9" s="197"/>
      <c r="E9" s="222">
        <f ca="1">SUM(K9:V9)</f>
        <v>1422.281064433774</v>
      </c>
      <c r="F9" s="222">
        <f ca="1">SUM(W9:AH9)</f>
        <v>1574.4960902348628</v>
      </c>
      <c r="G9" s="222">
        <f ca="1">SUM(AI9:AT9)</f>
        <v>1742.2922233055078</v>
      </c>
      <c r="H9" s="222">
        <f ca="1">SUM(AU9:BF9)</f>
        <v>1927.2171975089568</v>
      </c>
      <c r="I9" s="222">
        <f ca="1">SUM(BG9:BR9)</f>
        <v>2130.9692068752493</v>
      </c>
      <c r="J9" s="249"/>
      <c r="K9" s="223">
        <f t="shared" ref="K9:BR9" ca="1" si="0">K7-K8</f>
        <v>113.06426981441956</v>
      </c>
      <c r="L9" s="223">
        <f t="shared" ca="1" si="0"/>
        <v>114.03001590571404</v>
      </c>
      <c r="M9" s="223">
        <f t="shared" ca="1" si="0"/>
        <v>115.00366690585963</v>
      </c>
      <c r="N9" s="223">
        <f t="shared" ca="1" si="0"/>
        <v>115.98528567054655</v>
      </c>
      <c r="O9" s="223">
        <f t="shared" ca="1" si="0"/>
        <v>116.97493554490006</v>
      </c>
      <c r="P9" s="223">
        <f t="shared" ca="1" si="0"/>
        <v>117.97268036723193</v>
      </c>
      <c r="Q9" s="223">
        <f t="shared" ca="1" si="0"/>
        <v>118.97858447282005</v>
      </c>
      <c r="R9" s="223">
        <f t="shared" ca="1" si="0"/>
        <v>119.99271269771663</v>
      </c>
      <c r="S9" s="223">
        <f t="shared" ca="1" si="0"/>
        <v>121.01513038258565</v>
      </c>
      <c r="T9" s="223">
        <f t="shared" ca="1" si="0"/>
        <v>122.04590337656845</v>
      </c>
      <c r="U9" s="223">
        <f t="shared" ca="1" si="0"/>
        <v>123.08509804117966</v>
      </c>
      <c r="V9" s="222">
        <f t="shared" ca="1" si="0"/>
        <v>124.13278125423182</v>
      </c>
      <c r="W9" s="223">
        <f t="shared" ca="1" si="0"/>
        <v>125.18902041379033</v>
      </c>
      <c r="X9" s="223">
        <f t="shared" ca="1" si="0"/>
        <v>126.2538834421573</v>
      </c>
      <c r="Y9" s="223">
        <f t="shared" ca="1" si="0"/>
        <v>127.3274387898872</v>
      </c>
      <c r="Z9" s="223">
        <f t="shared" ca="1" si="0"/>
        <v>128.40975543983075</v>
      </c>
      <c r="AA9" s="223">
        <f t="shared" ca="1" si="0"/>
        <v>129.50090291121143</v>
      </c>
      <c r="AB9" s="223">
        <f t="shared" ca="1" si="0"/>
        <v>130.60095126373182</v>
      </c>
      <c r="AC9" s="223">
        <f t="shared" ca="1" si="0"/>
        <v>131.70997110171078</v>
      </c>
      <c r="AD9" s="223">
        <f t="shared" ca="1" si="0"/>
        <v>132.8280335782527</v>
      </c>
      <c r="AE9" s="223">
        <f t="shared" ca="1" si="0"/>
        <v>133.95521039944737</v>
      </c>
      <c r="AF9" s="223">
        <f t="shared" ca="1" si="0"/>
        <v>135.09157382860269</v>
      </c>
      <c r="AG9" s="223">
        <f t="shared" ca="1" si="0"/>
        <v>136.2371966905082</v>
      </c>
      <c r="AH9" s="222">
        <f t="shared" ca="1" si="0"/>
        <v>137.39215237573222</v>
      </c>
      <c r="AI9" s="223">
        <f t="shared" ca="1" si="0"/>
        <v>138.55651484494985</v>
      </c>
      <c r="AJ9" s="223">
        <f t="shared" ca="1" si="0"/>
        <v>139.73035863330483</v>
      </c>
      <c r="AK9" s="223">
        <f t="shared" ca="1" si="0"/>
        <v>140.91375885480471</v>
      </c>
      <c r="AL9" s="223">
        <f t="shared" ca="1" si="0"/>
        <v>142.1067912067474</v>
      </c>
      <c r="AM9" s="223">
        <f t="shared" ca="1" si="0"/>
        <v>143.30953197418381</v>
      </c>
      <c r="AN9" s="223">
        <f t="shared" ca="1" si="0"/>
        <v>144.52205803441166</v>
      </c>
      <c r="AO9" s="223">
        <f t="shared" ca="1" si="0"/>
        <v>145.74444686150485</v>
      </c>
      <c r="AP9" s="223">
        <f t="shared" ca="1" si="0"/>
        <v>146.9767765308768</v>
      </c>
      <c r="AQ9" s="223">
        <f t="shared" ca="1" si="0"/>
        <v>148.21912572387771</v>
      </c>
      <c r="AR9" s="223">
        <f t="shared" ca="1" si="0"/>
        <v>149.47157373242732</v>
      </c>
      <c r="AS9" s="223">
        <f t="shared" ca="1" si="0"/>
        <v>150.73420046368182</v>
      </c>
      <c r="AT9" s="222">
        <f t="shared" ca="1" si="0"/>
        <v>152.00708644473679</v>
      </c>
      <c r="AU9" s="223">
        <f t="shared" ca="1" si="0"/>
        <v>153.29031282736531</v>
      </c>
      <c r="AV9" s="223">
        <f t="shared" ca="1" si="0"/>
        <v>154.58396139279193</v>
      </c>
      <c r="AW9" s="223">
        <f t="shared" ca="1" si="0"/>
        <v>155.88811455650261</v>
      </c>
      <c r="AX9" s="223">
        <f t="shared" ca="1" si="0"/>
        <v>157.20285537309081</v>
      </c>
      <c r="AY9" s="223">
        <f t="shared" ca="1" si="0"/>
        <v>158.52826754114108</v>
      </c>
      <c r="AZ9" s="223">
        <f t="shared" ca="1" si="0"/>
        <v>159.8644354081481</v>
      </c>
      <c r="BA9" s="223">
        <f t="shared" ca="1" si="0"/>
        <v>161.21144397547414</v>
      </c>
      <c r="BB9" s="223">
        <f t="shared" ca="1" si="0"/>
        <v>162.56937890334336</v>
      </c>
      <c r="BC9" s="223">
        <f t="shared" ca="1" si="0"/>
        <v>163.93832651587365</v>
      </c>
      <c r="BD9" s="223">
        <f t="shared" ca="1" si="0"/>
        <v>165.31837380614724</v>
      </c>
      <c r="BE9" s="223">
        <f t="shared" ca="1" si="0"/>
        <v>166.70960844131827</v>
      </c>
      <c r="BF9" s="222">
        <f t="shared" ca="1" si="0"/>
        <v>168.11211876776031</v>
      </c>
      <c r="BG9" s="223">
        <f t="shared" ca="1" si="0"/>
        <v>169.52599381625203</v>
      </c>
      <c r="BH9" s="223">
        <f t="shared" ca="1" si="0"/>
        <v>170.9513233072019</v>
      </c>
      <c r="BI9" s="223">
        <f t="shared" ca="1" si="0"/>
        <v>172.38819765591279</v>
      </c>
      <c r="BJ9" s="223">
        <f t="shared" ca="1" si="0"/>
        <v>173.83670797788557</v>
      </c>
      <c r="BK9" s="223">
        <f t="shared" ca="1" si="0"/>
        <v>175.2969460941639</v>
      </c>
      <c r="BL9" s="223">
        <f t="shared" ca="1" si="0"/>
        <v>176.76900453671817</v>
      </c>
      <c r="BM9" s="223">
        <f t="shared" ca="1" si="0"/>
        <v>178.25297655387016</v>
      </c>
      <c r="BN9" s="223">
        <f t="shared" ca="1" si="0"/>
        <v>179.74895611576</v>
      </c>
      <c r="BO9" s="223">
        <f t="shared" ca="1" si="0"/>
        <v>181.25703791985217</v>
      </c>
      <c r="BP9" s="223">
        <f t="shared" ca="1" si="0"/>
        <v>182.77731739648556</v>
      </c>
      <c r="BQ9" s="223">
        <f t="shared" ca="1" si="0"/>
        <v>184.30989071446299</v>
      </c>
      <c r="BR9" s="222">
        <f t="shared" ca="1" si="0"/>
        <v>185.85485478668397</v>
      </c>
    </row>
    <row r="10" spans="1:70" s="14" customFormat="1" ht="13.2" x14ac:dyDescent="0.3">
      <c r="A10" s="13"/>
      <c r="C10" s="181" t="s">
        <v>213</v>
      </c>
      <c r="D10" s="34"/>
      <c r="E10" s="250">
        <f ca="1">E9/E7</f>
        <v>0.25534926176618999</v>
      </c>
      <c r="F10" s="250">
        <f t="shared" ref="F10:BQ10" ca="1" si="1">F9/F7</f>
        <v>0.25987278250565748</v>
      </c>
      <c r="G10" s="250">
        <f t="shared" ca="1" si="1"/>
        <v>0.2643688242689694</v>
      </c>
      <c r="H10" s="250">
        <f t="shared" ca="1" si="1"/>
        <v>0.26883755398232606</v>
      </c>
      <c r="I10" s="250">
        <f t="shared" ca="1" si="1"/>
        <v>0.27327913755790334</v>
      </c>
      <c r="J10" s="251"/>
      <c r="K10" s="252">
        <f t="shared" ca="1" si="1"/>
        <v>0.25323623031709647</v>
      </c>
      <c r="L10" s="252">
        <f t="shared" ca="1" si="1"/>
        <v>0.25361531667141513</v>
      </c>
      <c r="M10" s="252">
        <f t="shared" ca="1" si="1"/>
        <v>0.25399421058674576</v>
      </c>
      <c r="N10" s="252">
        <f t="shared" ca="1" si="1"/>
        <v>0.25437291216077806</v>
      </c>
      <c r="O10" s="252">
        <f t="shared" ca="1" si="1"/>
        <v>0.25475142149115193</v>
      </c>
      <c r="P10" s="252">
        <f t="shared" ca="1" si="1"/>
        <v>0.25512973867545774</v>
      </c>
      <c r="Q10" s="252">
        <f t="shared" ca="1" si="1"/>
        <v>0.2555078638112363</v>
      </c>
      <c r="R10" s="252">
        <f t="shared" ca="1" si="1"/>
        <v>0.2558857969959788</v>
      </c>
      <c r="S10" s="252">
        <f t="shared" ca="1" si="1"/>
        <v>0.25626353832712745</v>
      </c>
      <c r="T10" s="252">
        <f t="shared" ca="1" si="1"/>
        <v>0.25664108790207418</v>
      </c>
      <c r="U10" s="252">
        <f t="shared" ca="1" si="1"/>
        <v>0.25701844581816191</v>
      </c>
      <c r="V10" s="250">
        <f t="shared" ca="1" si="1"/>
        <v>0.25739561217268425</v>
      </c>
      <c r="W10" s="252">
        <f t="shared" ca="1" si="1"/>
        <v>0.25777258706288542</v>
      </c>
      <c r="X10" s="252">
        <f t="shared" ca="1" si="1"/>
        <v>0.25814937058595988</v>
      </c>
      <c r="Y10" s="252">
        <f t="shared" ca="1" si="1"/>
        <v>0.25852596283905355</v>
      </c>
      <c r="Z10" s="252">
        <f t="shared" ca="1" si="1"/>
        <v>0.25890236391926202</v>
      </c>
      <c r="AA10" s="252">
        <f t="shared" ca="1" si="1"/>
        <v>0.25927857392363218</v>
      </c>
      <c r="AB10" s="252">
        <f t="shared" ca="1" si="1"/>
        <v>0.25965459294916177</v>
      </c>
      <c r="AC10" s="252">
        <f t="shared" ca="1" si="1"/>
        <v>0.26003042109279884</v>
      </c>
      <c r="AD10" s="252">
        <f t="shared" ca="1" si="1"/>
        <v>0.26040605845144282</v>
      </c>
      <c r="AE10" s="252">
        <f t="shared" ca="1" si="1"/>
        <v>0.2607815051219432</v>
      </c>
      <c r="AF10" s="252">
        <f t="shared" ca="1" si="1"/>
        <v>0.26115676120110087</v>
      </c>
      <c r="AG10" s="252">
        <f t="shared" ca="1" si="1"/>
        <v>0.26153182678566722</v>
      </c>
      <c r="AH10" s="250">
        <f t="shared" ca="1" si="1"/>
        <v>0.26190670197234511</v>
      </c>
      <c r="AI10" s="252">
        <f t="shared" ca="1" si="1"/>
        <v>0.26228138685778779</v>
      </c>
      <c r="AJ10" s="252">
        <f t="shared" ca="1" si="1"/>
        <v>0.26265588153859926</v>
      </c>
      <c r="AK10" s="252">
        <f t="shared" ca="1" si="1"/>
        <v>0.26303018611133522</v>
      </c>
      <c r="AL10" s="252">
        <f t="shared" ca="1" si="1"/>
        <v>0.26340430067250148</v>
      </c>
      <c r="AM10" s="252">
        <f t="shared" ca="1" si="1"/>
        <v>0.26377822531855571</v>
      </c>
      <c r="AN10" s="252">
        <f t="shared" ca="1" si="1"/>
        <v>0.26415196014590614</v>
      </c>
      <c r="AO10" s="252">
        <f t="shared" ca="1" si="1"/>
        <v>0.26452550525091201</v>
      </c>
      <c r="AP10" s="252">
        <f t="shared" ca="1" si="1"/>
        <v>0.26489886072988372</v>
      </c>
      <c r="AQ10" s="252">
        <f t="shared" ca="1" si="1"/>
        <v>0.26527202667908301</v>
      </c>
      <c r="AR10" s="252">
        <f t="shared" ca="1" si="1"/>
        <v>0.26564500319472245</v>
      </c>
      <c r="AS10" s="252">
        <f t="shared" ca="1" si="1"/>
        <v>0.26601779037296591</v>
      </c>
      <c r="AT10" s="250">
        <f t="shared" ca="1" si="1"/>
        <v>0.26639038830992845</v>
      </c>
      <c r="AU10" s="252">
        <f t="shared" ca="1" si="1"/>
        <v>0.26676279710167622</v>
      </c>
      <c r="AV10" s="252">
        <f t="shared" ca="1" si="1"/>
        <v>0.2671350168442268</v>
      </c>
      <c r="AW10" s="252">
        <f t="shared" ca="1" si="1"/>
        <v>0.26750704763354899</v>
      </c>
      <c r="AX10" s="252">
        <f t="shared" ca="1" si="1"/>
        <v>0.26787888956556261</v>
      </c>
      <c r="AY10" s="252">
        <f t="shared" ca="1" si="1"/>
        <v>0.26825054273613913</v>
      </c>
      <c r="AZ10" s="252">
        <f t="shared" ca="1" si="1"/>
        <v>0.26862200724110102</v>
      </c>
      <c r="BA10" s="252">
        <f t="shared" ca="1" si="1"/>
        <v>0.26899328317622234</v>
      </c>
      <c r="BB10" s="252">
        <f t="shared" ca="1" si="1"/>
        <v>0.26936437063722868</v>
      </c>
      <c r="BC10" s="252">
        <f t="shared" ca="1" si="1"/>
        <v>0.2697352697197965</v>
      </c>
      <c r="BD10" s="252">
        <f t="shared" ca="1" si="1"/>
        <v>0.27010598051955448</v>
      </c>
      <c r="BE10" s="252">
        <f t="shared" ca="1" si="1"/>
        <v>0.27047650313208194</v>
      </c>
      <c r="BF10" s="250">
        <f t="shared" ca="1" si="1"/>
        <v>0.27084683765291018</v>
      </c>
      <c r="BG10" s="252">
        <f t="shared" ca="1" si="1"/>
        <v>0.27121698417752188</v>
      </c>
      <c r="BH10" s="252">
        <f t="shared" ca="1" si="1"/>
        <v>0.27158694280135109</v>
      </c>
      <c r="BI10" s="252">
        <f t="shared" ca="1" si="1"/>
        <v>0.27195671361978374</v>
      </c>
      <c r="BJ10" s="252">
        <f t="shared" ca="1" si="1"/>
        <v>0.272326296728157</v>
      </c>
      <c r="BK10" s="252">
        <f t="shared" ca="1" si="1"/>
        <v>0.27269569222175982</v>
      </c>
      <c r="BL10" s="252">
        <f t="shared" ca="1" si="1"/>
        <v>0.27306490019583313</v>
      </c>
      <c r="BM10" s="252">
        <f t="shared" ca="1" si="1"/>
        <v>0.2734339207455686</v>
      </c>
      <c r="BN10" s="252">
        <f t="shared" ca="1" si="1"/>
        <v>0.27380275396611053</v>
      </c>
      <c r="BO10" s="252">
        <f t="shared" ca="1" si="1"/>
        <v>0.27417139995255413</v>
      </c>
      <c r="BP10" s="252">
        <f t="shared" ca="1" si="1"/>
        <v>0.27453985879994697</v>
      </c>
      <c r="BQ10" s="252">
        <f t="shared" ca="1" si="1"/>
        <v>0.27490813060328823</v>
      </c>
      <c r="BR10" s="250">
        <f t="shared" ref="BR10" ca="1" si="2">BR9/BR7</f>
        <v>0.27527621545752845</v>
      </c>
    </row>
    <row r="11" spans="1:70" s="14" customFormat="1" ht="13.2" x14ac:dyDescent="0.3">
      <c r="A11" s="13"/>
      <c r="B11" s="13"/>
      <c r="C11" s="185" t="s">
        <v>65</v>
      </c>
      <c r="E11" s="211">
        <f>paySalaryWgtd*(1+payBonusWgtd+PayLoad)*(1+payCagrWgtd)^(E$4-1)</f>
        <v>404.5</v>
      </c>
      <c r="F11" s="211">
        <f>paySalaryWgtd*(1+payBonusWgtd+PayLoad)*(1+payCagrWgtd)^(F$4-1)</f>
        <v>409.84517857142856</v>
      </c>
      <c r="G11" s="211">
        <f>paySalaryWgtd*(1+payBonusWgtd+PayLoad)*(1+payCagrWgtd)^(G$4-1)</f>
        <v>415.26098985969384</v>
      </c>
      <c r="H11" s="211">
        <f>paySalaryWgtd*(1+payBonusWgtd+PayLoad)*(1+payCagrWgtd)^(H$4-1)</f>
        <v>420.74836722569688</v>
      </c>
      <c r="I11" s="211">
        <f>paySalaryWgtd*(1+payBonusWgtd+PayLoad)*(1+payCagrWgtd)^(I$4-1)</f>
        <v>426.30825636403637</v>
      </c>
      <c r="J11" s="248"/>
      <c r="K11" s="212">
        <f>$E11/12</f>
        <v>33.708333333333336</v>
      </c>
      <c r="L11" s="213">
        <f t="shared" ref="L11:V12" si="3">$E11/12</f>
        <v>33.708333333333336</v>
      </c>
      <c r="M11" s="213">
        <f t="shared" si="3"/>
        <v>33.708333333333336</v>
      </c>
      <c r="N11" s="213">
        <f t="shared" si="3"/>
        <v>33.708333333333336</v>
      </c>
      <c r="O11" s="213">
        <f t="shared" si="3"/>
        <v>33.708333333333336</v>
      </c>
      <c r="P11" s="213">
        <f t="shared" si="3"/>
        <v>33.708333333333336</v>
      </c>
      <c r="Q11" s="213">
        <f t="shared" si="3"/>
        <v>33.708333333333336</v>
      </c>
      <c r="R11" s="213">
        <f t="shared" si="3"/>
        <v>33.708333333333336</v>
      </c>
      <c r="S11" s="213">
        <f t="shared" si="3"/>
        <v>33.708333333333336</v>
      </c>
      <c r="T11" s="213">
        <f t="shared" si="3"/>
        <v>33.708333333333336</v>
      </c>
      <c r="U11" s="213">
        <f t="shared" si="3"/>
        <v>33.708333333333336</v>
      </c>
      <c r="V11" s="211">
        <f t="shared" si="3"/>
        <v>33.708333333333336</v>
      </c>
      <c r="W11" s="212">
        <f>$F11/12</f>
        <v>34.15376488095238</v>
      </c>
      <c r="X11" s="213">
        <f t="shared" ref="X11:AH12" si="4">$F11/12</f>
        <v>34.15376488095238</v>
      </c>
      <c r="Y11" s="213">
        <f t="shared" si="4"/>
        <v>34.15376488095238</v>
      </c>
      <c r="Z11" s="213">
        <f t="shared" si="4"/>
        <v>34.15376488095238</v>
      </c>
      <c r="AA11" s="213">
        <f t="shared" si="4"/>
        <v>34.15376488095238</v>
      </c>
      <c r="AB11" s="213">
        <f t="shared" si="4"/>
        <v>34.15376488095238</v>
      </c>
      <c r="AC11" s="213">
        <f t="shared" si="4"/>
        <v>34.15376488095238</v>
      </c>
      <c r="AD11" s="213">
        <f t="shared" si="4"/>
        <v>34.15376488095238</v>
      </c>
      <c r="AE11" s="213">
        <f t="shared" si="4"/>
        <v>34.15376488095238</v>
      </c>
      <c r="AF11" s="213">
        <f t="shared" si="4"/>
        <v>34.15376488095238</v>
      </c>
      <c r="AG11" s="213">
        <f t="shared" si="4"/>
        <v>34.15376488095238</v>
      </c>
      <c r="AH11" s="211">
        <f t="shared" si="4"/>
        <v>34.15376488095238</v>
      </c>
      <c r="AI11" s="212">
        <f>$G11/12</f>
        <v>34.605082488307822</v>
      </c>
      <c r="AJ11" s="213">
        <f t="shared" ref="AJ11:AT12" si="5">$G11/12</f>
        <v>34.605082488307822</v>
      </c>
      <c r="AK11" s="213">
        <f t="shared" si="5"/>
        <v>34.605082488307822</v>
      </c>
      <c r="AL11" s="213">
        <f t="shared" si="5"/>
        <v>34.605082488307822</v>
      </c>
      <c r="AM11" s="213">
        <f t="shared" si="5"/>
        <v>34.605082488307822</v>
      </c>
      <c r="AN11" s="213">
        <f t="shared" si="5"/>
        <v>34.605082488307822</v>
      </c>
      <c r="AO11" s="213">
        <f t="shared" si="5"/>
        <v>34.605082488307822</v>
      </c>
      <c r="AP11" s="213">
        <f t="shared" si="5"/>
        <v>34.605082488307822</v>
      </c>
      <c r="AQ11" s="213">
        <f t="shared" si="5"/>
        <v>34.605082488307822</v>
      </c>
      <c r="AR11" s="213">
        <f t="shared" si="5"/>
        <v>34.605082488307822</v>
      </c>
      <c r="AS11" s="213">
        <f t="shared" si="5"/>
        <v>34.605082488307822</v>
      </c>
      <c r="AT11" s="211">
        <f t="shared" si="5"/>
        <v>34.605082488307822</v>
      </c>
      <c r="AU11" s="212">
        <f>$H11/12</f>
        <v>35.062363935474743</v>
      </c>
      <c r="AV11" s="213">
        <f t="shared" ref="AV11:BF12" si="6">$H11/12</f>
        <v>35.062363935474743</v>
      </c>
      <c r="AW11" s="213">
        <f t="shared" si="6"/>
        <v>35.062363935474743</v>
      </c>
      <c r="AX11" s="213">
        <f t="shared" si="6"/>
        <v>35.062363935474743</v>
      </c>
      <c r="AY11" s="213">
        <f t="shared" si="6"/>
        <v>35.062363935474743</v>
      </c>
      <c r="AZ11" s="213">
        <f t="shared" si="6"/>
        <v>35.062363935474743</v>
      </c>
      <c r="BA11" s="213">
        <f t="shared" si="6"/>
        <v>35.062363935474743</v>
      </c>
      <c r="BB11" s="213">
        <f t="shared" si="6"/>
        <v>35.062363935474743</v>
      </c>
      <c r="BC11" s="213">
        <f t="shared" si="6"/>
        <v>35.062363935474743</v>
      </c>
      <c r="BD11" s="213">
        <f t="shared" si="6"/>
        <v>35.062363935474743</v>
      </c>
      <c r="BE11" s="213">
        <f t="shared" si="6"/>
        <v>35.062363935474743</v>
      </c>
      <c r="BF11" s="211">
        <f t="shared" si="6"/>
        <v>35.062363935474743</v>
      </c>
      <c r="BG11" s="212">
        <f>$I11/12</f>
        <v>35.525688030336362</v>
      </c>
      <c r="BH11" s="213">
        <f t="shared" ref="BH11:BR12" si="7">$I11/12</f>
        <v>35.525688030336362</v>
      </c>
      <c r="BI11" s="213">
        <f t="shared" si="7"/>
        <v>35.525688030336362</v>
      </c>
      <c r="BJ11" s="213">
        <f t="shared" si="7"/>
        <v>35.525688030336362</v>
      </c>
      <c r="BK11" s="213">
        <f t="shared" si="7"/>
        <v>35.525688030336362</v>
      </c>
      <c r="BL11" s="213">
        <f t="shared" si="7"/>
        <v>35.525688030336362</v>
      </c>
      <c r="BM11" s="213">
        <f t="shared" si="7"/>
        <v>35.525688030336362</v>
      </c>
      <c r="BN11" s="213">
        <f t="shared" si="7"/>
        <v>35.525688030336362</v>
      </c>
      <c r="BO11" s="213">
        <f t="shared" si="7"/>
        <v>35.525688030336362</v>
      </c>
      <c r="BP11" s="213">
        <f t="shared" si="7"/>
        <v>35.525688030336362</v>
      </c>
      <c r="BQ11" s="213">
        <f t="shared" si="7"/>
        <v>35.525688030336362</v>
      </c>
      <c r="BR11" s="211">
        <f t="shared" si="7"/>
        <v>35.525688030336362</v>
      </c>
    </row>
    <row r="12" spans="1:70" s="14" customFormat="1" ht="13.2" x14ac:dyDescent="0.3">
      <c r="A12" s="13"/>
      <c r="B12" s="13"/>
      <c r="C12" s="185" t="s">
        <v>69</v>
      </c>
      <c r="E12" s="211">
        <f>SUM(Overhead)*(1+overheadCagrWgtd)^(E$4-1)</f>
        <v>500</v>
      </c>
      <c r="F12" s="211">
        <f>SUM(Overhead)*(1+overheadCagrWgtd)^(F$4-1)</f>
        <v>514.1</v>
      </c>
      <c r="G12" s="211">
        <f>SUM(Overhead)*(1+overheadCagrWgtd)^(G$4-1)</f>
        <v>528.59762000000001</v>
      </c>
      <c r="H12" s="211">
        <f>SUM(Overhead)*(1+overheadCagrWgtd)^(H$4-1)</f>
        <v>543.50407288400004</v>
      </c>
      <c r="I12" s="211">
        <f>SUM(Overhead)*(1+overheadCagrWgtd)^(I$4-1)</f>
        <v>558.83088773932877</v>
      </c>
      <c r="J12" s="248"/>
      <c r="K12" s="212">
        <f>$E12/12</f>
        <v>41.666666666666664</v>
      </c>
      <c r="L12" s="213">
        <f t="shared" si="3"/>
        <v>41.666666666666664</v>
      </c>
      <c r="M12" s="213">
        <f t="shared" si="3"/>
        <v>41.666666666666664</v>
      </c>
      <c r="N12" s="213">
        <f t="shared" si="3"/>
        <v>41.666666666666664</v>
      </c>
      <c r="O12" s="213">
        <f t="shared" si="3"/>
        <v>41.666666666666664</v>
      </c>
      <c r="P12" s="213">
        <f t="shared" si="3"/>
        <v>41.666666666666664</v>
      </c>
      <c r="Q12" s="213">
        <f t="shared" si="3"/>
        <v>41.666666666666664</v>
      </c>
      <c r="R12" s="213">
        <f t="shared" si="3"/>
        <v>41.666666666666664</v>
      </c>
      <c r="S12" s="213">
        <f t="shared" si="3"/>
        <v>41.666666666666664</v>
      </c>
      <c r="T12" s="213">
        <f t="shared" si="3"/>
        <v>41.666666666666664</v>
      </c>
      <c r="U12" s="213">
        <f t="shared" si="3"/>
        <v>41.666666666666664</v>
      </c>
      <c r="V12" s="211">
        <f t="shared" si="3"/>
        <v>41.666666666666664</v>
      </c>
      <c r="W12" s="212">
        <f>$F12/12</f>
        <v>42.841666666666669</v>
      </c>
      <c r="X12" s="213">
        <f t="shared" si="4"/>
        <v>42.841666666666669</v>
      </c>
      <c r="Y12" s="213">
        <f t="shared" si="4"/>
        <v>42.841666666666669</v>
      </c>
      <c r="Z12" s="213">
        <f t="shared" si="4"/>
        <v>42.841666666666669</v>
      </c>
      <c r="AA12" s="213">
        <f t="shared" si="4"/>
        <v>42.841666666666669</v>
      </c>
      <c r="AB12" s="213">
        <f t="shared" si="4"/>
        <v>42.841666666666669</v>
      </c>
      <c r="AC12" s="213">
        <f t="shared" si="4"/>
        <v>42.841666666666669</v>
      </c>
      <c r="AD12" s="213">
        <f t="shared" si="4"/>
        <v>42.841666666666669</v>
      </c>
      <c r="AE12" s="213">
        <f t="shared" si="4"/>
        <v>42.841666666666669</v>
      </c>
      <c r="AF12" s="213">
        <f t="shared" si="4"/>
        <v>42.841666666666669</v>
      </c>
      <c r="AG12" s="213">
        <f t="shared" si="4"/>
        <v>42.841666666666669</v>
      </c>
      <c r="AH12" s="211">
        <f t="shared" si="4"/>
        <v>42.841666666666669</v>
      </c>
      <c r="AI12" s="212">
        <f>$G12/12</f>
        <v>44.049801666666667</v>
      </c>
      <c r="AJ12" s="213">
        <f t="shared" si="5"/>
        <v>44.049801666666667</v>
      </c>
      <c r="AK12" s="213">
        <f t="shared" si="5"/>
        <v>44.049801666666667</v>
      </c>
      <c r="AL12" s="213">
        <f t="shared" si="5"/>
        <v>44.049801666666667</v>
      </c>
      <c r="AM12" s="213">
        <f t="shared" si="5"/>
        <v>44.049801666666667</v>
      </c>
      <c r="AN12" s="213">
        <f t="shared" si="5"/>
        <v>44.049801666666667</v>
      </c>
      <c r="AO12" s="213">
        <f t="shared" si="5"/>
        <v>44.049801666666667</v>
      </c>
      <c r="AP12" s="213">
        <f t="shared" si="5"/>
        <v>44.049801666666667</v>
      </c>
      <c r="AQ12" s="213">
        <f t="shared" si="5"/>
        <v>44.049801666666667</v>
      </c>
      <c r="AR12" s="213">
        <f t="shared" si="5"/>
        <v>44.049801666666667</v>
      </c>
      <c r="AS12" s="213">
        <f t="shared" si="5"/>
        <v>44.049801666666667</v>
      </c>
      <c r="AT12" s="211">
        <f t="shared" si="5"/>
        <v>44.049801666666667</v>
      </c>
      <c r="AU12" s="212">
        <f>$H12/12</f>
        <v>45.29200607366667</v>
      </c>
      <c r="AV12" s="213">
        <f t="shared" si="6"/>
        <v>45.29200607366667</v>
      </c>
      <c r="AW12" s="213">
        <f t="shared" si="6"/>
        <v>45.29200607366667</v>
      </c>
      <c r="AX12" s="213">
        <f t="shared" si="6"/>
        <v>45.29200607366667</v>
      </c>
      <c r="AY12" s="213">
        <f t="shared" si="6"/>
        <v>45.29200607366667</v>
      </c>
      <c r="AZ12" s="213">
        <f t="shared" si="6"/>
        <v>45.29200607366667</v>
      </c>
      <c r="BA12" s="213">
        <f t="shared" si="6"/>
        <v>45.29200607366667</v>
      </c>
      <c r="BB12" s="213">
        <f t="shared" si="6"/>
        <v>45.29200607366667</v>
      </c>
      <c r="BC12" s="213">
        <f t="shared" si="6"/>
        <v>45.29200607366667</v>
      </c>
      <c r="BD12" s="213">
        <f t="shared" si="6"/>
        <v>45.29200607366667</v>
      </c>
      <c r="BE12" s="213">
        <f t="shared" si="6"/>
        <v>45.29200607366667</v>
      </c>
      <c r="BF12" s="211">
        <f t="shared" si="6"/>
        <v>45.29200607366667</v>
      </c>
      <c r="BG12" s="212">
        <f>$I12/12</f>
        <v>46.569240644944067</v>
      </c>
      <c r="BH12" s="213">
        <f t="shared" si="7"/>
        <v>46.569240644944067</v>
      </c>
      <c r="BI12" s="213">
        <f t="shared" si="7"/>
        <v>46.569240644944067</v>
      </c>
      <c r="BJ12" s="213">
        <f t="shared" si="7"/>
        <v>46.569240644944067</v>
      </c>
      <c r="BK12" s="213">
        <f t="shared" si="7"/>
        <v>46.569240644944067</v>
      </c>
      <c r="BL12" s="213">
        <f t="shared" si="7"/>
        <v>46.569240644944067</v>
      </c>
      <c r="BM12" s="213">
        <f t="shared" si="7"/>
        <v>46.569240644944067</v>
      </c>
      <c r="BN12" s="213">
        <f t="shared" si="7"/>
        <v>46.569240644944067</v>
      </c>
      <c r="BO12" s="213">
        <f t="shared" si="7"/>
        <v>46.569240644944067</v>
      </c>
      <c r="BP12" s="213">
        <f t="shared" si="7"/>
        <v>46.569240644944067</v>
      </c>
      <c r="BQ12" s="213">
        <f t="shared" si="7"/>
        <v>46.569240644944067</v>
      </c>
      <c r="BR12" s="211">
        <f t="shared" si="7"/>
        <v>46.569240644944067</v>
      </c>
    </row>
    <row r="13" spans="1:70" s="14" customFormat="1" ht="13.2" x14ac:dyDescent="0.3">
      <c r="A13" s="13"/>
      <c r="B13" s="13"/>
      <c r="C13" s="178" t="s">
        <v>214</v>
      </c>
      <c r="E13" s="215">
        <f ca="1">SUM(K13:V13)</f>
        <v>111.39887811667791</v>
      </c>
      <c r="F13" s="215">
        <f ca="1">SUM(W13:AH13)</f>
        <v>121.17437424987634</v>
      </c>
      <c r="G13" s="215">
        <f ca="1">SUM(AI13:AT13)</f>
        <v>131.80769163105978</v>
      </c>
      <c r="H13" s="215">
        <f ca="1">SUM(AU13:BF13)</f>
        <v>143.3741059581026</v>
      </c>
      <c r="I13" s="215">
        <f ca="1">SUM(BG13:BR13)</f>
        <v>155.95549853663687</v>
      </c>
      <c r="J13" s="248"/>
      <c r="K13" s="216">
        <f t="shared" ref="K13:AP13" ca="1" si="8">PayCommissions*K7</f>
        <v>8.9295492728542936</v>
      </c>
      <c r="L13" s="216">
        <f t="shared" ca="1" si="8"/>
        <v>8.9923603512836507</v>
      </c>
      <c r="M13" s="216">
        <f t="shared" ca="1" si="8"/>
        <v>9.0556132472620146</v>
      </c>
      <c r="N13" s="216">
        <f t="shared" ca="1" si="8"/>
        <v>9.1193110685651373</v>
      </c>
      <c r="O13" s="216">
        <f t="shared" ca="1" si="8"/>
        <v>9.1834569448290875</v>
      </c>
      <c r="P13" s="216">
        <f t="shared" ca="1" si="8"/>
        <v>9.2480540277040113</v>
      </c>
      <c r="Q13" s="216">
        <f t="shared" ca="1" si="8"/>
        <v>9.3131054910089865</v>
      </c>
      <c r="R13" s="216">
        <f t="shared" ca="1" si="8"/>
        <v>9.3786145308879565</v>
      </c>
      <c r="S13" s="216">
        <f t="shared" ca="1" si="8"/>
        <v>9.444584365966767</v>
      </c>
      <c r="T13" s="216">
        <f t="shared" ca="1" si="8"/>
        <v>9.5110182375113048</v>
      </c>
      <c r="U13" s="216">
        <f t="shared" ca="1" si="8"/>
        <v>9.5779194095867499</v>
      </c>
      <c r="V13" s="215">
        <f t="shared" ca="1" si="8"/>
        <v>9.6452911692179359</v>
      </c>
      <c r="W13" s="216">
        <f t="shared" ca="1" si="8"/>
        <v>9.7131368265508851</v>
      </c>
      <c r="X13" s="216">
        <f t="shared" ca="1" si="8"/>
        <v>9.7814597150153926</v>
      </c>
      <c r="Y13" s="216">
        <f t="shared" ca="1" si="8"/>
        <v>9.8502631914888532</v>
      </c>
      <c r="Z13" s="216">
        <f t="shared" ca="1" si="8"/>
        <v>9.9195506364611621</v>
      </c>
      <c r="AA13" s="216">
        <f t="shared" ca="1" si="8"/>
        <v>9.9893254542008219</v>
      </c>
      <c r="AB13" s="216">
        <f t="shared" ca="1" si="8"/>
        <v>10.059591072922204</v>
      </c>
      <c r="AC13" s="216">
        <f t="shared" ca="1" si="8"/>
        <v>10.130350944953978</v>
      </c>
      <c r="AD13" s="216">
        <f t="shared" ca="1" si="8"/>
        <v>10.201608546908732</v>
      </c>
      <c r="AE13" s="216">
        <f t="shared" ca="1" si="8"/>
        <v>10.273367379853799</v>
      </c>
      <c r="AF13" s="216">
        <f t="shared" ca="1" si="8"/>
        <v>10.345630969483262</v>
      </c>
      <c r="AG13" s="216">
        <f t="shared" ca="1" si="8"/>
        <v>10.418402866291181</v>
      </c>
      <c r="AH13" s="215">
        <f t="shared" ca="1" si="8"/>
        <v>10.491686645746052</v>
      </c>
      <c r="AI13" s="216">
        <f t="shared" ca="1" si="8"/>
        <v>10.56548590846646</v>
      </c>
      <c r="AJ13" s="216">
        <f t="shared" ca="1" si="8"/>
        <v>10.639804280397994</v>
      </c>
      <c r="AK13" s="216">
        <f t="shared" ca="1" si="8"/>
        <v>10.714645412991409</v>
      </c>
      <c r="AL13" s="216">
        <f t="shared" ca="1" si="8"/>
        <v>10.790012983382002</v>
      </c>
      <c r="AM13" s="216">
        <f t="shared" ca="1" si="8"/>
        <v>10.865910694570328</v>
      </c>
      <c r="AN13" s="216">
        <f t="shared" ca="1" si="8"/>
        <v>10.94234227560408</v>
      </c>
      <c r="AO13" s="216">
        <f t="shared" ca="1" si="8"/>
        <v>11.019311481761351</v>
      </c>
      <c r="AP13" s="216">
        <f t="shared" ca="1" si="8"/>
        <v>11.096822094735124</v>
      </c>
      <c r="AQ13" s="216">
        <f t="shared" ref="AQ13:BR13" ca="1" si="9">PayCommissions*AQ7</f>
        <v>11.174877922819064</v>
      </c>
      <c r="AR13" s="216">
        <f t="shared" ca="1" si="9"/>
        <v>11.253482801094664</v>
      </c>
      <c r="AS13" s="216">
        <f t="shared" ca="1" si="9"/>
        <v>11.332640591619635</v>
      </c>
      <c r="AT13" s="215">
        <f t="shared" ca="1" si="9"/>
        <v>11.41235518361767</v>
      </c>
      <c r="AU13" s="216">
        <f t="shared" ca="1" si="9"/>
        <v>11.492630493669546</v>
      </c>
      <c r="AV13" s="216">
        <f t="shared" ca="1" si="9"/>
        <v>11.573470465905544</v>
      </c>
      <c r="AW13" s="216">
        <f t="shared" ca="1" si="9"/>
        <v>11.654879072199229</v>
      </c>
      <c r="AX13" s="216">
        <f t="shared" ca="1" si="9"/>
        <v>11.736860312362603</v>
      </c>
      <c r="AY13" s="216">
        <f t="shared" ca="1" si="9"/>
        <v>11.81941821434264</v>
      </c>
      <c r="AZ13" s="216">
        <f t="shared" ca="1" si="9"/>
        <v>11.902556834419167</v>
      </c>
      <c r="BA13" s="216">
        <f t="shared" ca="1" si="9"/>
        <v>11.98628025740417</v>
      </c>
      <c r="BB13" s="216">
        <f t="shared" ca="1" si="9"/>
        <v>12.070592596842483</v>
      </c>
      <c r="BC13" s="216">
        <f t="shared" ca="1" si="9"/>
        <v>12.155497995213922</v>
      </c>
      <c r="BD13" s="216">
        <f t="shared" ca="1" si="9"/>
        <v>12.241000624136786</v>
      </c>
      <c r="BE13" s="216">
        <f t="shared" ca="1" si="9"/>
        <v>12.327104684572831</v>
      </c>
      <c r="BF13" s="215">
        <f t="shared" ca="1" si="9"/>
        <v>12.413814407033671</v>
      </c>
      <c r="BG13" s="216">
        <f t="shared" ca="1" si="9"/>
        <v>12.501134051788645</v>
      </c>
      <c r="BH13" s="216">
        <f t="shared" ca="1" si="9"/>
        <v>12.589067909074123</v>
      </c>
      <c r="BI13" s="216">
        <f t="shared" ca="1" si="9"/>
        <v>12.677620299304296</v>
      </c>
      <c r="BJ13" s="216">
        <f t="shared" ca="1" si="9"/>
        <v>12.766795573283455</v>
      </c>
      <c r="BK13" s="216">
        <f t="shared" ca="1" si="9"/>
        <v>12.856598112419762</v>
      </c>
      <c r="BL13" s="216">
        <f t="shared" ca="1" si="9"/>
        <v>12.947032328940505</v>
      </c>
      <c r="BM13" s="216">
        <f t="shared" ca="1" si="9"/>
        <v>13.038102666108884</v>
      </c>
      <c r="BN13" s="216">
        <f t="shared" ca="1" si="9"/>
        <v>13.129813598442338</v>
      </c>
      <c r="BO13" s="216">
        <f t="shared" ca="1" si="9"/>
        <v>13.222169631932363</v>
      </c>
      <c r="BP13" s="216">
        <f t="shared" ca="1" si="9"/>
        <v>13.315175304265935</v>
      </c>
      <c r="BQ13" s="216">
        <f t="shared" ca="1" si="9"/>
        <v>13.40883518504843</v>
      </c>
      <c r="BR13" s="215">
        <f t="shared" ca="1" si="9"/>
        <v>13.503153876028129</v>
      </c>
    </row>
    <row r="14" spans="1:70" s="14" customFormat="1" ht="13.2" x14ac:dyDescent="0.3">
      <c r="A14" s="40"/>
      <c r="C14" s="241" t="s">
        <v>215</v>
      </c>
      <c r="E14" s="225">
        <f ca="1">SUM(K14:V14)</f>
        <v>1015.8988781166779</v>
      </c>
      <c r="F14" s="225">
        <f ca="1">SUM(W14:AH14)</f>
        <v>1045.1195528213048</v>
      </c>
      <c r="G14" s="225">
        <f ca="1">SUM(AI14:AT14)</f>
        <v>1075.6663014907538</v>
      </c>
      <c r="H14" s="225">
        <f ca="1">SUM(AU14:BF14)</f>
        <v>1107.6265460677994</v>
      </c>
      <c r="I14" s="225">
        <f ca="1">SUM(BG14:BR14)</f>
        <v>1141.0946426400021</v>
      </c>
      <c r="J14" s="248"/>
      <c r="K14" s="226" cm="1">
        <f t="array" aca="1" ref="K14" ca="1">SUM(+K11:K13)</f>
        <v>84.304549272854288</v>
      </c>
      <c r="L14" s="226">
        <f t="shared" ref="L14:BR14" ca="1" si="10">SUM(L11:L13)</f>
        <v>84.367360351283651</v>
      </c>
      <c r="M14" s="226">
        <f t="shared" ca="1" si="10"/>
        <v>84.430613247262016</v>
      </c>
      <c r="N14" s="226">
        <f t="shared" ca="1" si="10"/>
        <v>84.494311068565139</v>
      </c>
      <c r="O14" s="226">
        <f t="shared" ca="1" si="10"/>
        <v>84.558456944829089</v>
      </c>
      <c r="P14" s="226">
        <f t="shared" ca="1" si="10"/>
        <v>84.623054027704015</v>
      </c>
      <c r="Q14" s="226">
        <f t="shared" ca="1" si="10"/>
        <v>84.688105491008983</v>
      </c>
      <c r="R14" s="226">
        <f t="shared" ca="1" si="10"/>
        <v>84.753614530887958</v>
      </c>
      <c r="S14" s="226">
        <f t="shared" ca="1" si="10"/>
        <v>84.819584365966762</v>
      </c>
      <c r="T14" s="226">
        <f t="shared" ca="1" si="10"/>
        <v>84.886018237511308</v>
      </c>
      <c r="U14" s="226">
        <f t="shared" ca="1" si="10"/>
        <v>84.952919409586755</v>
      </c>
      <c r="V14" s="225">
        <f t="shared" ca="1" si="10"/>
        <v>85.020291169217941</v>
      </c>
      <c r="W14" s="226">
        <f t="shared" ca="1" si="10"/>
        <v>86.708568374169928</v>
      </c>
      <c r="X14" s="226">
        <f t="shared" ca="1" si="10"/>
        <v>86.776891262634436</v>
      </c>
      <c r="Y14" s="226">
        <f t="shared" ca="1" si="10"/>
        <v>86.845694739107898</v>
      </c>
      <c r="Z14" s="226">
        <f t="shared" ca="1" si="10"/>
        <v>86.914982184080216</v>
      </c>
      <c r="AA14" s="226">
        <f t="shared" ca="1" si="10"/>
        <v>86.984757001819872</v>
      </c>
      <c r="AB14" s="226">
        <f t="shared" ca="1" si="10"/>
        <v>87.055022620541251</v>
      </c>
      <c r="AC14" s="226">
        <f t="shared" ca="1" si="10"/>
        <v>87.125782492573023</v>
      </c>
      <c r="AD14" s="226">
        <f t="shared" ca="1" si="10"/>
        <v>87.197040094527779</v>
      </c>
      <c r="AE14" s="226">
        <f t="shared" ca="1" si="10"/>
        <v>87.268798927472844</v>
      </c>
      <c r="AF14" s="226">
        <f t="shared" ca="1" si="10"/>
        <v>87.341062517102316</v>
      </c>
      <c r="AG14" s="226">
        <f t="shared" ca="1" si="10"/>
        <v>87.413834413910223</v>
      </c>
      <c r="AH14" s="225">
        <f t="shared" ca="1" si="10"/>
        <v>87.487118193365106</v>
      </c>
      <c r="AI14" s="226">
        <f t="shared" ca="1" si="10"/>
        <v>89.220370063440953</v>
      </c>
      <c r="AJ14" s="226">
        <f t="shared" ca="1" si="10"/>
        <v>89.294688435372493</v>
      </c>
      <c r="AK14" s="226">
        <f t="shared" ca="1" si="10"/>
        <v>89.369529567965913</v>
      </c>
      <c r="AL14" s="226">
        <f t="shared" ca="1" si="10"/>
        <v>89.444897138356495</v>
      </c>
      <c r="AM14" s="226">
        <f t="shared" ca="1" si="10"/>
        <v>89.520794849544828</v>
      </c>
      <c r="AN14" s="226">
        <f t="shared" ca="1" si="10"/>
        <v>89.597226430578573</v>
      </c>
      <c r="AO14" s="226">
        <f t="shared" ca="1" si="10"/>
        <v>89.674195636735845</v>
      </c>
      <c r="AP14" s="226">
        <f t="shared" ca="1" si="10"/>
        <v>89.751706249709628</v>
      </c>
      <c r="AQ14" s="226">
        <f t="shared" ca="1" si="10"/>
        <v>89.829762077793561</v>
      </c>
      <c r="AR14" s="226">
        <f t="shared" ca="1" si="10"/>
        <v>89.908366956069159</v>
      </c>
      <c r="AS14" s="226">
        <f t="shared" ca="1" si="10"/>
        <v>89.987524746594133</v>
      </c>
      <c r="AT14" s="225">
        <f t="shared" ca="1" si="10"/>
        <v>90.067239338592174</v>
      </c>
      <c r="AU14" s="226">
        <f t="shared" ca="1" si="10"/>
        <v>91.847000502810957</v>
      </c>
      <c r="AV14" s="226">
        <f t="shared" ca="1" si="10"/>
        <v>91.927840475046949</v>
      </c>
      <c r="AW14" s="226">
        <f t="shared" ca="1" si="10"/>
        <v>92.009249081340641</v>
      </c>
      <c r="AX14" s="226">
        <f t="shared" ca="1" si="10"/>
        <v>92.091230321504014</v>
      </c>
      <c r="AY14" s="226">
        <f t="shared" ca="1" si="10"/>
        <v>92.173788223484053</v>
      </c>
      <c r="AZ14" s="226">
        <f t="shared" ca="1" si="10"/>
        <v>92.256926843560578</v>
      </c>
      <c r="BA14" s="226">
        <f t="shared" ca="1" si="10"/>
        <v>92.34065026654558</v>
      </c>
      <c r="BB14" s="226">
        <f t="shared" ca="1" si="10"/>
        <v>92.424962605983893</v>
      </c>
      <c r="BC14" s="226">
        <f t="shared" ca="1" si="10"/>
        <v>92.509868004355326</v>
      </c>
      <c r="BD14" s="226">
        <f t="shared" ca="1" si="10"/>
        <v>92.595370633278193</v>
      </c>
      <c r="BE14" s="226">
        <f t="shared" ca="1" si="10"/>
        <v>92.681474693714236</v>
      </c>
      <c r="BF14" s="225">
        <f t="shared" ca="1" si="10"/>
        <v>92.768184416175075</v>
      </c>
      <c r="BG14" s="226">
        <f t="shared" ca="1" si="10"/>
        <v>94.596062727069068</v>
      </c>
      <c r="BH14" s="226">
        <f t="shared" ca="1" si="10"/>
        <v>94.683996584354546</v>
      </c>
      <c r="BI14" s="226">
        <f t="shared" ca="1" si="10"/>
        <v>94.772548974584723</v>
      </c>
      <c r="BJ14" s="226">
        <f t="shared" ca="1" si="10"/>
        <v>94.861724248563888</v>
      </c>
      <c r="BK14" s="226">
        <f t="shared" ca="1" si="10"/>
        <v>94.951526787700189</v>
      </c>
      <c r="BL14" s="226">
        <f t="shared" ca="1" si="10"/>
        <v>95.041961004220937</v>
      </c>
      <c r="BM14" s="226">
        <f t="shared" ca="1" si="10"/>
        <v>95.133031341389312</v>
      </c>
      <c r="BN14" s="226">
        <f t="shared" ca="1" si="10"/>
        <v>95.224742273722768</v>
      </c>
      <c r="BO14" s="226">
        <f t="shared" ca="1" si="10"/>
        <v>95.317098307212788</v>
      </c>
      <c r="BP14" s="226">
        <f t="shared" ca="1" si="10"/>
        <v>95.410103979546363</v>
      </c>
      <c r="BQ14" s="226">
        <f t="shared" ca="1" si="10"/>
        <v>95.50376386032886</v>
      </c>
      <c r="BR14" s="225">
        <f t="shared" ca="1" si="10"/>
        <v>95.598082551308551</v>
      </c>
    </row>
    <row r="15" spans="1:70" s="175" customFormat="1" ht="13.2" x14ac:dyDescent="0.3">
      <c r="A15" s="40"/>
      <c r="C15" s="175" t="s">
        <v>169</v>
      </c>
      <c r="D15" s="197"/>
      <c r="E15" s="222">
        <f ca="1">SUM(K15:V15)</f>
        <v>406.38218631709611</v>
      </c>
      <c r="F15" s="222">
        <f ca="1">SUM(W15:AH15)</f>
        <v>529.3765374135578</v>
      </c>
      <c r="G15" s="222">
        <f ca="1">SUM(AI15:AT15)</f>
        <v>666.62592181475372</v>
      </c>
      <c r="H15" s="222">
        <f ca="1">SUM(AU15:BF15)</f>
        <v>819.59065144115743</v>
      </c>
      <c r="I15" s="222">
        <f ca="1">SUM(BG15:BR15)</f>
        <v>989.87456423524714</v>
      </c>
      <c r="J15" s="249"/>
      <c r="K15" s="223">
        <f t="shared" ref="K15:BR15" ca="1" si="11">K9-K14</f>
        <v>28.759720541565272</v>
      </c>
      <c r="L15" s="223">
        <f t="shared" ca="1" si="11"/>
        <v>29.662655554430387</v>
      </c>
      <c r="M15" s="223">
        <f t="shared" ca="1" si="11"/>
        <v>30.573053658597615</v>
      </c>
      <c r="N15" s="223">
        <f t="shared" ca="1" si="11"/>
        <v>31.490974601981407</v>
      </c>
      <c r="O15" s="223">
        <f t="shared" ca="1" si="11"/>
        <v>32.416478600070974</v>
      </c>
      <c r="P15" s="223">
        <f t="shared" ca="1" si="11"/>
        <v>33.349626339527916</v>
      </c>
      <c r="Q15" s="223">
        <f t="shared" ca="1" si="11"/>
        <v>34.290478981811063</v>
      </c>
      <c r="R15" s="223">
        <f t="shared" ca="1" si="11"/>
        <v>35.239098166828668</v>
      </c>
      <c r="S15" s="223">
        <f t="shared" ca="1" si="11"/>
        <v>36.195546016618891</v>
      </c>
      <c r="T15" s="223">
        <f t="shared" ca="1" si="11"/>
        <v>37.159885139057138</v>
      </c>
      <c r="U15" s="223">
        <f t="shared" ca="1" si="11"/>
        <v>38.132178631592907</v>
      </c>
      <c r="V15" s="222">
        <f t="shared" ca="1" si="11"/>
        <v>39.112490085013874</v>
      </c>
      <c r="W15" s="223">
        <f t="shared" ca="1" si="11"/>
        <v>38.480452039620403</v>
      </c>
      <c r="X15" s="223">
        <f t="shared" ca="1" si="11"/>
        <v>39.476992179522867</v>
      </c>
      <c r="Y15" s="223">
        <f t="shared" ca="1" si="11"/>
        <v>40.481744050779298</v>
      </c>
      <c r="Z15" s="223">
        <f t="shared" ca="1" si="11"/>
        <v>41.49477325575053</v>
      </c>
      <c r="AA15" s="223">
        <f t="shared" ca="1" si="11"/>
        <v>42.516145909391554</v>
      </c>
      <c r="AB15" s="223">
        <f t="shared" ca="1" si="11"/>
        <v>43.545928643190564</v>
      </c>
      <c r="AC15" s="223">
        <f t="shared" ca="1" si="11"/>
        <v>44.584188609137755</v>
      </c>
      <c r="AD15" s="223">
        <f t="shared" ca="1" si="11"/>
        <v>45.630993483724922</v>
      </c>
      <c r="AE15" s="223">
        <f t="shared" ca="1" si="11"/>
        <v>46.686411471974523</v>
      </c>
      <c r="AF15" s="223">
        <f t="shared" ca="1" si="11"/>
        <v>47.750511311500375</v>
      </c>
      <c r="AG15" s="223">
        <f t="shared" ca="1" si="11"/>
        <v>48.823362276597976</v>
      </c>
      <c r="AH15" s="222">
        <f t="shared" ca="1" si="11"/>
        <v>49.905034182367118</v>
      </c>
      <c r="AI15" s="223">
        <f t="shared" ca="1" si="11"/>
        <v>49.336144781508892</v>
      </c>
      <c r="AJ15" s="223">
        <f t="shared" ca="1" si="11"/>
        <v>50.435670197932339</v>
      </c>
      <c r="AK15" s="223">
        <f t="shared" ca="1" si="11"/>
        <v>51.544229286838799</v>
      </c>
      <c r="AL15" s="223">
        <f t="shared" ca="1" si="11"/>
        <v>52.661894068390907</v>
      </c>
      <c r="AM15" s="223">
        <f t="shared" ca="1" si="11"/>
        <v>53.788737124638985</v>
      </c>
      <c r="AN15" s="223">
        <f t="shared" ca="1" si="11"/>
        <v>54.924831603833084</v>
      </c>
      <c r="AO15" s="223">
        <f t="shared" ca="1" si="11"/>
        <v>56.070251224769009</v>
      </c>
      <c r="AP15" s="223">
        <f t="shared" ca="1" si="11"/>
        <v>57.225070281167177</v>
      </c>
      <c r="AQ15" s="223">
        <f t="shared" ca="1" si="11"/>
        <v>58.389363646084149</v>
      </c>
      <c r="AR15" s="223">
        <f t="shared" ca="1" si="11"/>
        <v>59.563206776358157</v>
      </c>
      <c r="AS15" s="223">
        <f t="shared" ca="1" si="11"/>
        <v>60.746675717087683</v>
      </c>
      <c r="AT15" s="222">
        <f t="shared" ca="1" si="11"/>
        <v>61.939847106144612</v>
      </c>
      <c r="AU15" s="223">
        <f t="shared" ca="1" si="11"/>
        <v>61.443312324554356</v>
      </c>
      <c r="AV15" s="223">
        <f t="shared" ca="1" si="11"/>
        <v>62.656120917744985</v>
      </c>
      <c r="AW15" s="223">
        <f t="shared" ca="1" si="11"/>
        <v>63.878865475161973</v>
      </c>
      <c r="AX15" s="223">
        <f t="shared" ca="1" si="11"/>
        <v>65.111625051586799</v>
      </c>
      <c r="AY15" s="223">
        <f t="shared" ca="1" si="11"/>
        <v>66.354479317657024</v>
      </c>
      <c r="AZ15" s="223">
        <f t="shared" ca="1" si="11"/>
        <v>67.607508564587519</v>
      </c>
      <c r="BA15" s="223">
        <f t="shared" ca="1" si="11"/>
        <v>68.870793708928559</v>
      </c>
      <c r="BB15" s="223">
        <f t="shared" ca="1" si="11"/>
        <v>70.14441629735947</v>
      </c>
      <c r="BC15" s="223">
        <f t="shared" ca="1" si="11"/>
        <v>71.428458511518329</v>
      </c>
      <c r="BD15" s="223">
        <f t="shared" ca="1" si="11"/>
        <v>72.723003172869042</v>
      </c>
      <c r="BE15" s="223">
        <f t="shared" ca="1" si="11"/>
        <v>74.028133747604031</v>
      </c>
      <c r="BF15" s="222">
        <f t="shared" ca="1" si="11"/>
        <v>75.343934351585233</v>
      </c>
      <c r="BG15" s="223">
        <f t="shared" ca="1" si="11"/>
        <v>74.929931089182958</v>
      </c>
      <c r="BH15" s="223">
        <f t="shared" ca="1" si="11"/>
        <v>76.267326722847358</v>
      </c>
      <c r="BI15" s="223">
        <f t="shared" ca="1" si="11"/>
        <v>77.615648681328068</v>
      </c>
      <c r="BJ15" s="223">
        <f t="shared" ca="1" si="11"/>
        <v>78.974983729321679</v>
      </c>
      <c r="BK15" s="223">
        <f t="shared" ca="1" si="11"/>
        <v>80.345419306463711</v>
      </c>
      <c r="BL15" s="223">
        <f t="shared" ca="1" si="11"/>
        <v>81.727043532497234</v>
      </c>
      <c r="BM15" s="223">
        <f t="shared" ca="1" si="11"/>
        <v>83.119945212480843</v>
      </c>
      <c r="BN15" s="223">
        <f t="shared" ca="1" si="11"/>
        <v>84.524213842037227</v>
      </c>
      <c r="BO15" s="223">
        <f t="shared" ca="1" si="11"/>
        <v>85.939939612639378</v>
      </c>
      <c r="BP15" s="223">
        <f t="shared" ca="1" si="11"/>
        <v>87.367213416939194</v>
      </c>
      <c r="BQ15" s="223">
        <f t="shared" ca="1" si="11"/>
        <v>88.806126854134135</v>
      </c>
      <c r="BR15" s="222">
        <f t="shared" ca="1" si="11"/>
        <v>90.256772235375422</v>
      </c>
    </row>
    <row r="16" spans="1:70" s="14" customFormat="1" ht="13.2" x14ac:dyDescent="0.3">
      <c r="A16" s="13"/>
      <c r="C16" s="185" t="s">
        <v>197</v>
      </c>
      <c r="E16" s="211">
        <f t="shared" ref="E16:E26" si="12">SUM(K16:V16)</f>
        <v>0</v>
      </c>
      <c r="F16" s="211">
        <f t="shared" ref="F16:F26" si="13">SUM(W16:AH16)</f>
        <v>0</v>
      </c>
      <c r="G16" s="211">
        <f t="shared" ref="G16:G26" si="14">SUM(AI16:AT16)</f>
        <v>0</v>
      </c>
      <c r="H16" s="211">
        <f t="shared" ref="H16:H26" si="15">SUM(AU16:BF16)</f>
        <v>0</v>
      </c>
      <c r="I16" s="211">
        <f t="shared" ref="I16:I26" si="16">SUM(BG16:BR16)</f>
        <v>0</v>
      </c>
      <c r="J16" s="248"/>
      <c r="K16" s="212">
        <f>CapEx!K14</f>
        <v>0</v>
      </c>
      <c r="L16" s="213">
        <f>CapEx!L14</f>
        <v>0</v>
      </c>
      <c r="M16" s="213">
        <f>CapEx!M14</f>
        <v>0</v>
      </c>
      <c r="N16" s="213">
        <f>CapEx!N14</f>
        <v>0</v>
      </c>
      <c r="O16" s="213">
        <f>CapEx!O14</f>
        <v>0</v>
      </c>
      <c r="P16" s="213">
        <f>CapEx!P14</f>
        <v>0</v>
      </c>
      <c r="Q16" s="213">
        <f>CapEx!Q14</f>
        <v>0</v>
      </c>
      <c r="R16" s="213">
        <f>CapEx!R14</f>
        <v>0</v>
      </c>
      <c r="S16" s="213">
        <f>CapEx!S14</f>
        <v>0</v>
      </c>
      <c r="T16" s="213">
        <f>CapEx!T14</f>
        <v>0</v>
      </c>
      <c r="U16" s="213">
        <f>CapEx!U14</f>
        <v>0</v>
      </c>
      <c r="V16" s="211">
        <f>CapEx!V14</f>
        <v>0</v>
      </c>
      <c r="W16" s="212">
        <f>CapEx!W14</f>
        <v>0</v>
      </c>
      <c r="X16" s="213">
        <f>CapEx!X14</f>
        <v>0</v>
      </c>
      <c r="Y16" s="213">
        <f>CapEx!Y14</f>
        <v>0</v>
      </c>
      <c r="Z16" s="213">
        <f>CapEx!Z14</f>
        <v>0</v>
      </c>
      <c r="AA16" s="213">
        <f>CapEx!AA14</f>
        <v>0</v>
      </c>
      <c r="AB16" s="213">
        <f>CapEx!AB14</f>
        <v>0</v>
      </c>
      <c r="AC16" s="213">
        <f>CapEx!AC14</f>
        <v>0</v>
      </c>
      <c r="AD16" s="213">
        <f>CapEx!AD14</f>
        <v>0</v>
      </c>
      <c r="AE16" s="213">
        <f>CapEx!AE14</f>
        <v>0</v>
      </c>
      <c r="AF16" s="213">
        <f>CapEx!AF14</f>
        <v>0</v>
      </c>
      <c r="AG16" s="213">
        <f>CapEx!AG14</f>
        <v>0</v>
      </c>
      <c r="AH16" s="211">
        <f>CapEx!AH14</f>
        <v>0</v>
      </c>
      <c r="AI16" s="212">
        <f>CapEx!AI14</f>
        <v>0</v>
      </c>
      <c r="AJ16" s="213">
        <f>CapEx!AJ14</f>
        <v>0</v>
      </c>
      <c r="AK16" s="213">
        <f>CapEx!AK14</f>
        <v>0</v>
      </c>
      <c r="AL16" s="213">
        <f>CapEx!AL14</f>
        <v>0</v>
      </c>
      <c r="AM16" s="213">
        <f>CapEx!AM14</f>
        <v>0</v>
      </c>
      <c r="AN16" s="213">
        <f>CapEx!AN14</f>
        <v>0</v>
      </c>
      <c r="AO16" s="213">
        <f>CapEx!AO14</f>
        <v>0</v>
      </c>
      <c r="AP16" s="213">
        <f>CapEx!AP14</f>
        <v>0</v>
      </c>
      <c r="AQ16" s="213">
        <f>CapEx!AQ14</f>
        <v>0</v>
      </c>
      <c r="AR16" s="213">
        <f>CapEx!AR14</f>
        <v>0</v>
      </c>
      <c r="AS16" s="213">
        <f>CapEx!AS14</f>
        <v>0</v>
      </c>
      <c r="AT16" s="211">
        <f>CapEx!AT14</f>
        <v>0</v>
      </c>
      <c r="AU16" s="212">
        <f>CapEx!AU14</f>
        <v>0</v>
      </c>
      <c r="AV16" s="213">
        <f>CapEx!AV14</f>
        <v>0</v>
      </c>
      <c r="AW16" s="213">
        <f>CapEx!AW14</f>
        <v>0</v>
      </c>
      <c r="AX16" s="213">
        <f>CapEx!AX14</f>
        <v>0</v>
      </c>
      <c r="AY16" s="213">
        <f>CapEx!AY14</f>
        <v>0</v>
      </c>
      <c r="AZ16" s="213">
        <f>CapEx!AZ14</f>
        <v>0</v>
      </c>
      <c r="BA16" s="213">
        <f>CapEx!BA14</f>
        <v>0</v>
      </c>
      <c r="BB16" s="213">
        <f>CapEx!BB14</f>
        <v>0</v>
      </c>
      <c r="BC16" s="213">
        <f>CapEx!BC14</f>
        <v>0</v>
      </c>
      <c r="BD16" s="213">
        <f>CapEx!BD14</f>
        <v>0</v>
      </c>
      <c r="BE16" s="213">
        <f>CapEx!BE14</f>
        <v>0</v>
      </c>
      <c r="BF16" s="211">
        <f>CapEx!BF14</f>
        <v>0</v>
      </c>
      <c r="BG16" s="212">
        <f>CapEx!BG14</f>
        <v>0</v>
      </c>
      <c r="BH16" s="213">
        <f>CapEx!BH14</f>
        <v>0</v>
      </c>
      <c r="BI16" s="213">
        <f>CapEx!BI14</f>
        <v>0</v>
      </c>
      <c r="BJ16" s="213">
        <f>CapEx!BJ14</f>
        <v>0</v>
      </c>
      <c r="BK16" s="213">
        <f>CapEx!BK14</f>
        <v>0</v>
      </c>
      <c r="BL16" s="213">
        <f>CapEx!BL14</f>
        <v>0</v>
      </c>
      <c r="BM16" s="213">
        <f>CapEx!BM14</f>
        <v>0</v>
      </c>
      <c r="BN16" s="213">
        <f>CapEx!BN14</f>
        <v>0</v>
      </c>
      <c r="BO16" s="213">
        <f>CapEx!BO14</f>
        <v>0</v>
      </c>
      <c r="BP16" s="213">
        <f>CapEx!BP14</f>
        <v>0</v>
      </c>
      <c r="BQ16" s="213">
        <f>CapEx!BQ14</f>
        <v>0</v>
      </c>
      <c r="BR16" s="211">
        <f>CapEx!BR14</f>
        <v>0</v>
      </c>
    </row>
    <row r="17" spans="1:70" s="14" customFormat="1" ht="13.2" x14ac:dyDescent="0.3">
      <c r="A17" s="13"/>
      <c r="C17" s="185" t="s">
        <v>198</v>
      </c>
      <c r="E17" s="211">
        <f t="shared" si="12"/>
        <v>40</v>
      </c>
      <c r="F17" s="211">
        <f t="shared" si="13"/>
        <v>0</v>
      </c>
      <c r="G17" s="211">
        <f t="shared" si="14"/>
        <v>0</v>
      </c>
      <c r="H17" s="211">
        <f t="shared" si="15"/>
        <v>0</v>
      </c>
      <c r="I17" s="211">
        <f t="shared" si="16"/>
        <v>0</v>
      </c>
      <c r="J17" s="248"/>
      <c r="K17" s="212">
        <f>CapEx!K15</f>
        <v>4</v>
      </c>
      <c r="L17" s="213">
        <f>CapEx!L15</f>
        <v>4</v>
      </c>
      <c r="M17" s="213">
        <f>CapEx!M15</f>
        <v>4</v>
      </c>
      <c r="N17" s="213">
        <f>CapEx!N15</f>
        <v>4</v>
      </c>
      <c r="O17" s="213">
        <f>CapEx!O15</f>
        <v>4</v>
      </c>
      <c r="P17" s="213">
        <f>CapEx!P15</f>
        <v>4</v>
      </c>
      <c r="Q17" s="213">
        <f>CapEx!Q15</f>
        <v>4</v>
      </c>
      <c r="R17" s="213">
        <f>CapEx!R15</f>
        <v>4</v>
      </c>
      <c r="S17" s="213">
        <f>CapEx!S15</f>
        <v>4</v>
      </c>
      <c r="T17" s="213">
        <f>CapEx!T15</f>
        <v>4</v>
      </c>
      <c r="U17" s="213">
        <f>CapEx!U15</f>
        <v>0</v>
      </c>
      <c r="V17" s="211">
        <f>CapEx!V15</f>
        <v>0</v>
      </c>
      <c r="W17" s="212">
        <f>CapEx!W15</f>
        <v>0</v>
      </c>
      <c r="X17" s="213">
        <f>CapEx!X15</f>
        <v>0</v>
      </c>
      <c r="Y17" s="213">
        <f>CapEx!Y15</f>
        <v>0</v>
      </c>
      <c r="Z17" s="213">
        <f>CapEx!Z15</f>
        <v>0</v>
      </c>
      <c r="AA17" s="213">
        <f>CapEx!AA15</f>
        <v>0</v>
      </c>
      <c r="AB17" s="213">
        <f>CapEx!AB15</f>
        <v>0</v>
      </c>
      <c r="AC17" s="213">
        <f>CapEx!AC15</f>
        <v>0</v>
      </c>
      <c r="AD17" s="213">
        <f>CapEx!AD15</f>
        <v>0</v>
      </c>
      <c r="AE17" s="213">
        <f>CapEx!AE15</f>
        <v>0</v>
      </c>
      <c r="AF17" s="213">
        <f>CapEx!AF15</f>
        <v>0</v>
      </c>
      <c r="AG17" s="213">
        <f>CapEx!AG15</f>
        <v>0</v>
      </c>
      <c r="AH17" s="211">
        <f>CapEx!AH15</f>
        <v>0</v>
      </c>
      <c r="AI17" s="212">
        <f>CapEx!AI15</f>
        <v>0</v>
      </c>
      <c r="AJ17" s="213">
        <f>CapEx!AJ15</f>
        <v>0</v>
      </c>
      <c r="AK17" s="213">
        <f>CapEx!AK15</f>
        <v>0</v>
      </c>
      <c r="AL17" s="213">
        <f>CapEx!AL15</f>
        <v>0</v>
      </c>
      <c r="AM17" s="213">
        <f>CapEx!AM15</f>
        <v>0</v>
      </c>
      <c r="AN17" s="213">
        <f>CapEx!AN15</f>
        <v>0</v>
      </c>
      <c r="AO17" s="213">
        <f>CapEx!AO15</f>
        <v>0</v>
      </c>
      <c r="AP17" s="213">
        <f>CapEx!AP15</f>
        <v>0</v>
      </c>
      <c r="AQ17" s="213">
        <f>CapEx!AQ15</f>
        <v>0</v>
      </c>
      <c r="AR17" s="213">
        <f>CapEx!AR15</f>
        <v>0</v>
      </c>
      <c r="AS17" s="213">
        <f>CapEx!AS15</f>
        <v>0</v>
      </c>
      <c r="AT17" s="211">
        <f>CapEx!AT15</f>
        <v>0</v>
      </c>
      <c r="AU17" s="212">
        <f>CapEx!AU15</f>
        <v>0</v>
      </c>
      <c r="AV17" s="213">
        <f>CapEx!AV15</f>
        <v>0</v>
      </c>
      <c r="AW17" s="213">
        <f>CapEx!AW15</f>
        <v>0</v>
      </c>
      <c r="AX17" s="213">
        <f>CapEx!AX15</f>
        <v>0</v>
      </c>
      <c r="AY17" s="213">
        <f>CapEx!AY15</f>
        <v>0</v>
      </c>
      <c r="AZ17" s="213">
        <f>CapEx!AZ15</f>
        <v>0</v>
      </c>
      <c r="BA17" s="213">
        <f>CapEx!BA15</f>
        <v>0</v>
      </c>
      <c r="BB17" s="213">
        <f>CapEx!BB15</f>
        <v>0</v>
      </c>
      <c r="BC17" s="213">
        <f>CapEx!BC15</f>
        <v>0</v>
      </c>
      <c r="BD17" s="213">
        <f>CapEx!BD15</f>
        <v>0</v>
      </c>
      <c r="BE17" s="213">
        <f>CapEx!BE15</f>
        <v>0</v>
      </c>
      <c r="BF17" s="211">
        <f>CapEx!BF15</f>
        <v>0</v>
      </c>
      <c r="BG17" s="212">
        <f>CapEx!BG15</f>
        <v>0</v>
      </c>
      <c r="BH17" s="213">
        <f>CapEx!BH15</f>
        <v>0</v>
      </c>
      <c r="BI17" s="213">
        <f>CapEx!BI15</f>
        <v>0</v>
      </c>
      <c r="BJ17" s="213">
        <f>CapEx!BJ15</f>
        <v>0</v>
      </c>
      <c r="BK17" s="213">
        <f>CapEx!BK15</f>
        <v>0</v>
      </c>
      <c r="BL17" s="213">
        <f>CapEx!BL15</f>
        <v>0</v>
      </c>
      <c r="BM17" s="213">
        <f>CapEx!BM15</f>
        <v>0</v>
      </c>
      <c r="BN17" s="213">
        <f>CapEx!BN15</f>
        <v>0</v>
      </c>
      <c r="BO17" s="213">
        <f>CapEx!BO15</f>
        <v>0</v>
      </c>
      <c r="BP17" s="213">
        <f>CapEx!BP15</f>
        <v>0</v>
      </c>
      <c r="BQ17" s="213">
        <f>CapEx!BQ15</f>
        <v>0</v>
      </c>
      <c r="BR17" s="211">
        <f>CapEx!BR15</f>
        <v>0</v>
      </c>
    </row>
    <row r="18" spans="1:70" s="14" customFormat="1" ht="13.2" x14ac:dyDescent="0.3">
      <c r="A18" s="13"/>
      <c r="C18" s="185" t="s">
        <v>199</v>
      </c>
      <c r="E18" s="211">
        <f t="shared" si="12"/>
        <v>0</v>
      </c>
      <c r="F18" s="211">
        <f t="shared" si="13"/>
        <v>0</v>
      </c>
      <c r="G18" s="211">
        <f t="shared" si="14"/>
        <v>0</v>
      </c>
      <c r="H18" s="211">
        <f t="shared" si="15"/>
        <v>0</v>
      </c>
      <c r="I18" s="211">
        <f t="shared" si="16"/>
        <v>0</v>
      </c>
      <c r="J18" s="248"/>
      <c r="K18" s="212">
        <f>CapEx!K16</f>
        <v>0</v>
      </c>
      <c r="L18" s="213">
        <f>CapEx!L16</f>
        <v>0</v>
      </c>
      <c r="M18" s="213">
        <f>CapEx!M16</f>
        <v>0</v>
      </c>
      <c r="N18" s="213">
        <f>CapEx!N16</f>
        <v>0</v>
      </c>
      <c r="O18" s="213">
        <f>CapEx!O16</f>
        <v>0</v>
      </c>
      <c r="P18" s="213">
        <f>CapEx!P16</f>
        <v>0</v>
      </c>
      <c r="Q18" s="213">
        <f>CapEx!Q16</f>
        <v>0</v>
      </c>
      <c r="R18" s="213">
        <f>CapEx!R16</f>
        <v>0</v>
      </c>
      <c r="S18" s="213">
        <f>CapEx!S16</f>
        <v>0</v>
      </c>
      <c r="T18" s="213">
        <f>CapEx!T16</f>
        <v>0</v>
      </c>
      <c r="U18" s="213">
        <f>CapEx!U16</f>
        <v>0</v>
      </c>
      <c r="V18" s="211">
        <f>CapEx!V16</f>
        <v>0</v>
      </c>
      <c r="W18" s="212">
        <f>CapEx!W16</f>
        <v>0</v>
      </c>
      <c r="X18" s="213">
        <f>CapEx!X16</f>
        <v>0</v>
      </c>
      <c r="Y18" s="213">
        <f>CapEx!Y16</f>
        <v>0</v>
      </c>
      <c r="Z18" s="213">
        <f>CapEx!Z16</f>
        <v>0</v>
      </c>
      <c r="AA18" s="213">
        <f>CapEx!AA16</f>
        <v>0</v>
      </c>
      <c r="AB18" s="213">
        <f>CapEx!AB16</f>
        <v>0</v>
      </c>
      <c r="AC18" s="213">
        <f>CapEx!AC16</f>
        <v>0</v>
      </c>
      <c r="AD18" s="213">
        <f>CapEx!AD16</f>
        <v>0</v>
      </c>
      <c r="AE18" s="213">
        <f>CapEx!AE16</f>
        <v>0</v>
      </c>
      <c r="AF18" s="213">
        <f>CapEx!AF16</f>
        <v>0</v>
      </c>
      <c r="AG18" s="213">
        <f>CapEx!AG16</f>
        <v>0</v>
      </c>
      <c r="AH18" s="211">
        <f>CapEx!AH16</f>
        <v>0</v>
      </c>
      <c r="AI18" s="212">
        <f>CapEx!AI16</f>
        <v>0</v>
      </c>
      <c r="AJ18" s="213">
        <f>CapEx!AJ16</f>
        <v>0</v>
      </c>
      <c r="AK18" s="213">
        <f>CapEx!AK16</f>
        <v>0</v>
      </c>
      <c r="AL18" s="213">
        <f>CapEx!AL16</f>
        <v>0</v>
      </c>
      <c r="AM18" s="213">
        <f>CapEx!AM16</f>
        <v>0</v>
      </c>
      <c r="AN18" s="213">
        <f>CapEx!AN16</f>
        <v>0</v>
      </c>
      <c r="AO18" s="213">
        <f>CapEx!AO16</f>
        <v>0</v>
      </c>
      <c r="AP18" s="213">
        <f>CapEx!AP16</f>
        <v>0</v>
      </c>
      <c r="AQ18" s="213">
        <f>CapEx!AQ16</f>
        <v>0</v>
      </c>
      <c r="AR18" s="213">
        <f>CapEx!AR16</f>
        <v>0</v>
      </c>
      <c r="AS18" s="213">
        <f>CapEx!AS16</f>
        <v>0</v>
      </c>
      <c r="AT18" s="211">
        <f>CapEx!AT16</f>
        <v>0</v>
      </c>
      <c r="AU18" s="212">
        <f>CapEx!AU16</f>
        <v>0</v>
      </c>
      <c r="AV18" s="213">
        <f>CapEx!AV16</f>
        <v>0</v>
      </c>
      <c r="AW18" s="213">
        <f>CapEx!AW16</f>
        <v>0</v>
      </c>
      <c r="AX18" s="213">
        <f>CapEx!AX16</f>
        <v>0</v>
      </c>
      <c r="AY18" s="213">
        <f>CapEx!AY16</f>
        <v>0</v>
      </c>
      <c r="AZ18" s="213">
        <f>CapEx!AZ16</f>
        <v>0</v>
      </c>
      <c r="BA18" s="213">
        <f>CapEx!BA16</f>
        <v>0</v>
      </c>
      <c r="BB18" s="213">
        <f>CapEx!BB16</f>
        <v>0</v>
      </c>
      <c r="BC18" s="213">
        <f>CapEx!BC16</f>
        <v>0</v>
      </c>
      <c r="BD18" s="213">
        <f>CapEx!BD16</f>
        <v>0</v>
      </c>
      <c r="BE18" s="213">
        <f>CapEx!BE16</f>
        <v>0</v>
      </c>
      <c r="BF18" s="211">
        <f>CapEx!BF16</f>
        <v>0</v>
      </c>
      <c r="BG18" s="212">
        <f>CapEx!BG16</f>
        <v>0</v>
      </c>
      <c r="BH18" s="213">
        <f>CapEx!BH16</f>
        <v>0</v>
      </c>
      <c r="BI18" s="213">
        <f>CapEx!BI16</f>
        <v>0</v>
      </c>
      <c r="BJ18" s="213">
        <f>CapEx!BJ16</f>
        <v>0</v>
      </c>
      <c r="BK18" s="213">
        <f>CapEx!BK16</f>
        <v>0</v>
      </c>
      <c r="BL18" s="213">
        <f>CapEx!BL16</f>
        <v>0</v>
      </c>
      <c r="BM18" s="213">
        <f>CapEx!BM16</f>
        <v>0</v>
      </c>
      <c r="BN18" s="213">
        <f>CapEx!BN16</f>
        <v>0</v>
      </c>
      <c r="BO18" s="213">
        <f>CapEx!BO16</f>
        <v>0</v>
      </c>
      <c r="BP18" s="213">
        <f>CapEx!BP16</f>
        <v>0</v>
      </c>
      <c r="BQ18" s="213">
        <f>CapEx!BQ16</f>
        <v>0</v>
      </c>
      <c r="BR18" s="211">
        <f>CapEx!BR16</f>
        <v>0</v>
      </c>
    </row>
    <row r="19" spans="1:70" s="14" customFormat="1" ht="13.2" x14ac:dyDescent="0.3">
      <c r="A19" s="13"/>
      <c r="C19" s="185" t="s">
        <v>200</v>
      </c>
      <c r="E19" s="211">
        <f t="shared" si="12"/>
        <v>50.000000000000007</v>
      </c>
      <c r="F19" s="211">
        <f t="shared" si="13"/>
        <v>0</v>
      </c>
      <c r="G19" s="211">
        <f t="shared" si="14"/>
        <v>0</v>
      </c>
      <c r="H19" s="211">
        <f t="shared" si="15"/>
        <v>0</v>
      </c>
      <c r="I19" s="211">
        <f t="shared" si="16"/>
        <v>0</v>
      </c>
      <c r="J19" s="248"/>
      <c r="K19" s="212">
        <f>CapEx!K17</f>
        <v>0</v>
      </c>
      <c r="L19" s="213">
        <f>CapEx!L17</f>
        <v>0</v>
      </c>
      <c r="M19" s="213">
        <f>CapEx!M17</f>
        <v>0</v>
      </c>
      <c r="N19" s="213">
        <f>CapEx!N17</f>
        <v>0</v>
      </c>
      <c r="O19" s="213">
        <f>CapEx!O17</f>
        <v>0</v>
      </c>
      <c r="P19" s="213">
        <f>CapEx!P17</f>
        <v>7.1428571428571432</v>
      </c>
      <c r="Q19" s="213">
        <f>CapEx!Q17</f>
        <v>7.1428571428571432</v>
      </c>
      <c r="R19" s="213">
        <f>CapEx!R17</f>
        <v>7.1428571428571432</v>
      </c>
      <c r="S19" s="213">
        <f>CapEx!S17</f>
        <v>7.1428571428571432</v>
      </c>
      <c r="T19" s="213">
        <f>CapEx!T17</f>
        <v>7.1428571428571432</v>
      </c>
      <c r="U19" s="213">
        <f>CapEx!U17</f>
        <v>7.1428571428571432</v>
      </c>
      <c r="V19" s="211">
        <f>CapEx!V17</f>
        <v>7.1428571428571432</v>
      </c>
      <c r="W19" s="212">
        <f>CapEx!W17</f>
        <v>0</v>
      </c>
      <c r="X19" s="213">
        <f>CapEx!X17</f>
        <v>0</v>
      </c>
      <c r="Y19" s="213">
        <f>CapEx!Y17</f>
        <v>0</v>
      </c>
      <c r="Z19" s="213">
        <f>CapEx!Z17</f>
        <v>0</v>
      </c>
      <c r="AA19" s="213">
        <f>CapEx!AA17</f>
        <v>0</v>
      </c>
      <c r="AB19" s="213">
        <f>CapEx!AB17</f>
        <v>0</v>
      </c>
      <c r="AC19" s="213">
        <f>CapEx!AC17</f>
        <v>0</v>
      </c>
      <c r="AD19" s="213">
        <f>CapEx!AD17</f>
        <v>0</v>
      </c>
      <c r="AE19" s="213">
        <f>CapEx!AE17</f>
        <v>0</v>
      </c>
      <c r="AF19" s="213">
        <f>CapEx!AF17</f>
        <v>0</v>
      </c>
      <c r="AG19" s="213">
        <f>CapEx!AG17</f>
        <v>0</v>
      </c>
      <c r="AH19" s="211">
        <f>CapEx!AH17</f>
        <v>0</v>
      </c>
      <c r="AI19" s="212">
        <f>CapEx!AI17</f>
        <v>0</v>
      </c>
      <c r="AJ19" s="213">
        <f>CapEx!AJ17</f>
        <v>0</v>
      </c>
      <c r="AK19" s="213">
        <f>CapEx!AK17</f>
        <v>0</v>
      </c>
      <c r="AL19" s="213">
        <f>CapEx!AL17</f>
        <v>0</v>
      </c>
      <c r="AM19" s="213">
        <f>CapEx!AM17</f>
        <v>0</v>
      </c>
      <c r="AN19" s="213">
        <f>CapEx!AN17</f>
        <v>0</v>
      </c>
      <c r="AO19" s="213">
        <f>CapEx!AO17</f>
        <v>0</v>
      </c>
      <c r="AP19" s="213">
        <f>CapEx!AP17</f>
        <v>0</v>
      </c>
      <c r="AQ19" s="213">
        <f>CapEx!AQ17</f>
        <v>0</v>
      </c>
      <c r="AR19" s="213">
        <f>CapEx!AR17</f>
        <v>0</v>
      </c>
      <c r="AS19" s="213">
        <f>CapEx!AS17</f>
        <v>0</v>
      </c>
      <c r="AT19" s="211">
        <f>CapEx!AT17</f>
        <v>0</v>
      </c>
      <c r="AU19" s="212">
        <f>CapEx!AU17</f>
        <v>0</v>
      </c>
      <c r="AV19" s="213">
        <f>CapEx!AV17</f>
        <v>0</v>
      </c>
      <c r="AW19" s="213">
        <f>CapEx!AW17</f>
        <v>0</v>
      </c>
      <c r="AX19" s="213">
        <f>CapEx!AX17</f>
        <v>0</v>
      </c>
      <c r="AY19" s="213">
        <f>CapEx!AY17</f>
        <v>0</v>
      </c>
      <c r="AZ19" s="213">
        <f>CapEx!AZ17</f>
        <v>0</v>
      </c>
      <c r="BA19" s="213">
        <f>CapEx!BA17</f>
        <v>0</v>
      </c>
      <c r="BB19" s="213">
        <f>CapEx!BB17</f>
        <v>0</v>
      </c>
      <c r="BC19" s="213">
        <f>CapEx!BC17</f>
        <v>0</v>
      </c>
      <c r="BD19" s="213">
        <f>CapEx!BD17</f>
        <v>0</v>
      </c>
      <c r="BE19" s="213">
        <f>CapEx!BE17</f>
        <v>0</v>
      </c>
      <c r="BF19" s="211">
        <f>CapEx!BF17</f>
        <v>0</v>
      </c>
      <c r="BG19" s="212">
        <f>CapEx!BG17</f>
        <v>0</v>
      </c>
      <c r="BH19" s="213">
        <f>CapEx!BH17</f>
        <v>0</v>
      </c>
      <c r="BI19" s="213">
        <f>CapEx!BI17</f>
        <v>0</v>
      </c>
      <c r="BJ19" s="213">
        <f>CapEx!BJ17</f>
        <v>0</v>
      </c>
      <c r="BK19" s="213">
        <f>CapEx!BK17</f>
        <v>0</v>
      </c>
      <c r="BL19" s="213">
        <f>CapEx!BL17</f>
        <v>0</v>
      </c>
      <c r="BM19" s="213">
        <f>CapEx!BM17</f>
        <v>0</v>
      </c>
      <c r="BN19" s="213">
        <f>CapEx!BN17</f>
        <v>0</v>
      </c>
      <c r="BO19" s="213">
        <f>CapEx!BO17</f>
        <v>0</v>
      </c>
      <c r="BP19" s="213">
        <f>CapEx!BP17</f>
        <v>0</v>
      </c>
      <c r="BQ19" s="213">
        <f>CapEx!BQ17</f>
        <v>0</v>
      </c>
      <c r="BR19" s="211">
        <f>CapEx!BR17</f>
        <v>0</v>
      </c>
    </row>
    <row r="20" spans="1:70" s="14" customFormat="1" ht="13.2" x14ac:dyDescent="0.3">
      <c r="A20" s="13"/>
      <c r="C20" s="178" t="str">
        <f>CapEx!C19</f>
        <v>All other</v>
      </c>
      <c r="E20" s="215">
        <f t="shared" si="12"/>
        <v>0</v>
      </c>
      <c r="F20" s="215">
        <f t="shared" si="13"/>
        <v>0</v>
      </c>
      <c r="G20" s="215">
        <f t="shared" si="14"/>
        <v>0</v>
      </c>
      <c r="H20" s="215">
        <f t="shared" si="15"/>
        <v>0</v>
      </c>
      <c r="I20" s="215">
        <f t="shared" si="16"/>
        <v>0</v>
      </c>
      <c r="J20" s="248"/>
      <c r="K20" s="216">
        <f>CapEx!K19</f>
        <v>0</v>
      </c>
      <c r="L20" s="216">
        <f>CapEx!L19</f>
        <v>0</v>
      </c>
      <c r="M20" s="216">
        <f>CapEx!M19</f>
        <v>0</v>
      </c>
      <c r="N20" s="216">
        <f>CapEx!N19</f>
        <v>0</v>
      </c>
      <c r="O20" s="216">
        <f>CapEx!O19</f>
        <v>0</v>
      </c>
      <c r="P20" s="216">
        <f>CapEx!P19</f>
        <v>0</v>
      </c>
      <c r="Q20" s="216">
        <f>CapEx!Q19</f>
        <v>0</v>
      </c>
      <c r="R20" s="216">
        <f>CapEx!R19</f>
        <v>0</v>
      </c>
      <c r="S20" s="216">
        <f>CapEx!S19</f>
        <v>0</v>
      </c>
      <c r="T20" s="216">
        <f>CapEx!T19</f>
        <v>0</v>
      </c>
      <c r="U20" s="216">
        <f>CapEx!U19</f>
        <v>0</v>
      </c>
      <c r="V20" s="215">
        <f>CapEx!V19</f>
        <v>0</v>
      </c>
      <c r="W20" s="216">
        <f>CapEx!W19</f>
        <v>0</v>
      </c>
      <c r="X20" s="216">
        <f>CapEx!X19</f>
        <v>0</v>
      </c>
      <c r="Y20" s="216">
        <f>CapEx!Y19</f>
        <v>0</v>
      </c>
      <c r="Z20" s="216">
        <f>CapEx!Z19</f>
        <v>0</v>
      </c>
      <c r="AA20" s="216">
        <f>CapEx!AA19</f>
        <v>0</v>
      </c>
      <c r="AB20" s="216">
        <f>CapEx!AB19</f>
        <v>0</v>
      </c>
      <c r="AC20" s="216">
        <f>CapEx!AC19</f>
        <v>0</v>
      </c>
      <c r="AD20" s="216">
        <f>CapEx!AD19</f>
        <v>0</v>
      </c>
      <c r="AE20" s="216">
        <f>CapEx!AE19</f>
        <v>0</v>
      </c>
      <c r="AF20" s="216">
        <f>CapEx!AF19</f>
        <v>0</v>
      </c>
      <c r="AG20" s="216">
        <f>CapEx!AG19</f>
        <v>0</v>
      </c>
      <c r="AH20" s="215">
        <f>CapEx!AH19</f>
        <v>0</v>
      </c>
      <c r="AI20" s="216">
        <f>CapEx!AI19</f>
        <v>0</v>
      </c>
      <c r="AJ20" s="216">
        <f>CapEx!AJ19</f>
        <v>0</v>
      </c>
      <c r="AK20" s="216">
        <f>CapEx!AK19</f>
        <v>0</v>
      </c>
      <c r="AL20" s="216">
        <f>CapEx!AL19</f>
        <v>0</v>
      </c>
      <c r="AM20" s="216">
        <f>CapEx!AM19</f>
        <v>0</v>
      </c>
      <c r="AN20" s="216">
        <f>CapEx!AN19</f>
        <v>0</v>
      </c>
      <c r="AO20" s="216">
        <f>CapEx!AO19</f>
        <v>0</v>
      </c>
      <c r="AP20" s="216">
        <f>CapEx!AP19</f>
        <v>0</v>
      </c>
      <c r="AQ20" s="216">
        <f>CapEx!AQ19</f>
        <v>0</v>
      </c>
      <c r="AR20" s="216">
        <f>CapEx!AR19</f>
        <v>0</v>
      </c>
      <c r="AS20" s="216">
        <f>CapEx!AS19</f>
        <v>0</v>
      </c>
      <c r="AT20" s="215">
        <f>CapEx!AT19</f>
        <v>0</v>
      </c>
      <c r="AU20" s="216">
        <f>CapEx!AU19</f>
        <v>0</v>
      </c>
      <c r="AV20" s="216">
        <f>CapEx!AV19</f>
        <v>0</v>
      </c>
      <c r="AW20" s="216">
        <f>CapEx!AW19</f>
        <v>0</v>
      </c>
      <c r="AX20" s="216">
        <f>CapEx!AX19</f>
        <v>0</v>
      </c>
      <c r="AY20" s="216">
        <f>CapEx!AY19</f>
        <v>0</v>
      </c>
      <c r="AZ20" s="216">
        <f>CapEx!AZ19</f>
        <v>0</v>
      </c>
      <c r="BA20" s="216">
        <f>CapEx!BA19</f>
        <v>0</v>
      </c>
      <c r="BB20" s="216">
        <f>CapEx!BB19</f>
        <v>0</v>
      </c>
      <c r="BC20" s="216">
        <f>CapEx!BC19</f>
        <v>0</v>
      </c>
      <c r="BD20" s="216">
        <f>CapEx!BD19</f>
        <v>0</v>
      </c>
      <c r="BE20" s="216">
        <f>CapEx!BE19</f>
        <v>0</v>
      </c>
      <c r="BF20" s="215">
        <f>CapEx!BF19</f>
        <v>0</v>
      </c>
      <c r="BG20" s="216">
        <f>CapEx!BG19</f>
        <v>0</v>
      </c>
      <c r="BH20" s="216">
        <f>CapEx!BH19</f>
        <v>0</v>
      </c>
      <c r="BI20" s="216">
        <f>CapEx!BI19</f>
        <v>0</v>
      </c>
      <c r="BJ20" s="216">
        <f>CapEx!BJ19</f>
        <v>0</v>
      </c>
      <c r="BK20" s="216">
        <f>CapEx!BK19</f>
        <v>0</v>
      </c>
      <c r="BL20" s="216">
        <f>CapEx!BL19</f>
        <v>0</v>
      </c>
      <c r="BM20" s="216">
        <f>CapEx!BM19</f>
        <v>0</v>
      </c>
      <c r="BN20" s="216">
        <f>CapEx!BN19</f>
        <v>0</v>
      </c>
      <c r="BO20" s="216">
        <f>CapEx!BO19</f>
        <v>0</v>
      </c>
      <c r="BP20" s="216">
        <f>CapEx!BP19</f>
        <v>0</v>
      </c>
      <c r="BQ20" s="216">
        <f>CapEx!BQ19</f>
        <v>0</v>
      </c>
      <c r="BR20" s="215">
        <f>CapEx!BR19</f>
        <v>0</v>
      </c>
    </row>
    <row r="21" spans="1:70" s="14" customFormat="1" ht="13.2" x14ac:dyDescent="0.3">
      <c r="A21" s="40"/>
      <c r="C21" s="241" t="s">
        <v>22</v>
      </c>
      <c r="E21" s="226">
        <f t="shared" si="12"/>
        <v>89.999999999999986</v>
      </c>
      <c r="F21" s="226">
        <f t="shared" si="13"/>
        <v>0</v>
      </c>
      <c r="G21" s="226">
        <f t="shared" si="14"/>
        <v>0</v>
      </c>
      <c r="H21" s="226">
        <f t="shared" si="15"/>
        <v>0</v>
      </c>
      <c r="I21" s="226">
        <f t="shared" si="16"/>
        <v>0</v>
      </c>
      <c r="J21" s="248"/>
      <c r="K21" s="226">
        <f>SUM(K16:K20)</f>
        <v>4</v>
      </c>
      <c r="L21" s="226">
        <f t="shared" ref="L21:BR21" si="17">SUM(L16:L20)</f>
        <v>4</v>
      </c>
      <c r="M21" s="226">
        <f t="shared" si="17"/>
        <v>4</v>
      </c>
      <c r="N21" s="226">
        <f t="shared" si="17"/>
        <v>4</v>
      </c>
      <c r="O21" s="226">
        <f t="shared" si="17"/>
        <v>4</v>
      </c>
      <c r="P21" s="226">
        <f t="shared" si="17"/>
        <v>11.142857142857142</v>
      </c>
      <c r="Q21" s="226">
        <f t="shared" si="17"/>
        <v>11.142857142857142</v>
      </c>
      <c r="R21" s="226">
        <f t="shared" si="17"/>
        <v>11.142857142857142</v>
      </c>
      <c r="S21" s="226">
        <f t="shared" si="17"/>
        <v>11.142857142857142</v>
      </c>
      <c r="T21" s="226">
        <f t="shared" si="17"/>
        <v>11.142857142857142</v>
      </c>
      <c r="U21" s="226">
        <f t="shared" si="17"/>
        <v>7.1428571428571432</v>
      </c>
      <c r="V21" s="226">
        <f t="shared" si="17"/>
        <v>7.1428571428571432</v>
      </c>
      <c r="W21" s="226">
        <f t="shared" si="17"/>
        <v>0</v>
      </c>
      <c r="X21" s="226">
        <f t="shared" si="17"/>
        <v>0</v>
      </c>
      <c r="Y21" s="226">
        <f t="shared" si="17"/>
        <v>0</v>
      </c>
      <c r="Z21" s="226">
        <f t="shared" si="17"/>
        <v>0</v>
      </c>
      <c r="AA21" s="226">
        <f t="shared" si="17"/>
        <v>0</v>
      </c>
      <c r="AB21" s="226">
        <f t="shared" si="17"/>
        <v>0</v>
      </c>
      <c r="AC21" s="226">
        <f t="shared" si="17"/>
        <v>0</v>
      </c>
      <c r="AD21" s="226">
        <f t="shared" si="17"/>
        <v>0</v>
      </c>
      <c r="AE21" s="226">
        <f t="shared" si="17"/>
        <v>0</v>
      </c>
      <c r="AF21" s="226">
        <f t="shared" si="17"/>
        <v>0</v>
      </c>
      <c r="AG21" s="226">
        <f t="shared" si="17"/>
        <v>0</v>
      </c>
      <c r="AH21" s="226">
        <f t="shared" si="17"/>
        <v>0</v>
      </c>
      <c r="AI21" s="226">
        <f t="shared" si="17"/>
        <v>0</v>
      </c>
      <c r="AJ21" s="226">
        <f t="shared" si="17"/>
        <v>0</v>
      </c>
      <c r="AK21" s="226">
        <f t="shared" si="17"/>
        <v>0</v>
      </c>
      <c r="AL21" s="226">
        <f t="shared" si="17"/>
        <v>0</v>
      </c>
      <c r="AM21" s="226">
        <f t="shared" si="17"/>
        <v>0</v>
      </c>
      <c r="AN21" s="226">
        <f t="shared" si="17"/>
        <v>0</v>
      </c>
      <c r="AO21" s="226">
        <f t="shared" si="17"/>
        <v>0</v>
      </c>
      <c r="AP21" s="226">
        <f t="shared" si="17"/>
        <v>0</v>
      </c>
      <c r="AQ21" s="226">
        <f t="shared" si="17"/>
        <v>0</v>
      </c>
      <c r="AR21" s="226">
        <f t="shared" si="17"/>
        <v>0</v>
      </c>
      <c r="AS21" s="226">
        <f t="shared" si="17"/>
        <v>0</v>
      </c>
      <c r="AT21" s="226">
        <f t="shared" si="17"/>
        <v>0</v>
      </c>
      <c r="AU21" s="226">
        <f t="shared" si="17"/>
        <v>0</v>
      </c>
      <c r="AV21" s="226">
        <f t="shared" si="17"/>
        <v>0</v>
      </c>
      <c r="AW21" s="226">
        <f t="shared" si="17"/>
        <v>0</v>
      </c>
      <c r="AX21" s="226">
        <f t="shared" si="17"/>
        <v>0</v>
      </c>
      <c r="AY21" s="226">
        <f t="shared" si="17"/>
        <v>0</v>
      </c>
      <c r="AZ21" s="226">
        <f t="shared" si="17"/>
        <v>0</v>
      </c>
      <c r="BA21" s="226">
        <f t="shared" si="17"/>
        <v>0</v>
      </c>
      <c r="BB21" s="226">
        <f t="shared" si="17"/>
        <v>0</v>
      </c>
      <c r="BC21" s="226">
        <f t="shared" si="17"/>
        <v>0</v>
      </c>
      <c r="BD21" s="226">
        <f t="shared" si="17"/>
        <v>0</v>
      </c>
      <c r="BE21" s="226">
        <f t="shared" si="17"/>
        <v>0</v>
      </c>
      <c r="BF21" s="226">
        <f t="shared" si="17"/>
        <v>0</v>
      </c>
      <c r="BG21" s="226">
        <f t="shared" si="17"/>
        <v>0</v>
      </c>
      <c r="BH21" s="226">
        <f t="shared" si="17"/>
        <v>0</v>
      </c>
      <c r="BI21" s="226">
        <f t="shared" si="17"/>
        <v>0</v>
      </c>
      <c r="BJ21" s="226">
        <f t="shared" si="17"/>
        <v>0</v>
      </c>
      <c r="BK21" s="226">
        <f t="shared" si="17"/>
        <v>0</v>
      </c>
      <c r="BL21" s="226">
        <f t="shared" si="17"/>
        <v>0</v>
      </c>
      <c r="BM21" s="226">
        <f t="shared" si="17"/>
        <v>0</v>
      </c>
      <c r="BN21" s="226">
        <f t="shared" si="17"/>
        <v>0</v>
      </c>
      <c r="BO21" s="226">
        <f t="shared" si="17"/>
        <v>0</v>
      </c>
      <c r="BP21" s="226">
        <f t="shared" si="17"/>
        <v>0</v>
      </c>
      <c r="BQ21" s="226">
        <f t="shared" si="17"/>
        <v>0</v>
      </c>
      <c r="BR21" s="226">
        <f t="shared" si="17"/>
        <v>0</v>
      </c>
    </row>
    <row r="22" spans="1:70" s="175" customFormat="1" ht="13.2" x14ac:dyDescent="0.3">
      <c r="A22" s="40"/>
      <c r="C22" s="175" t="s">
        <v>63</v>
      </c>
      <c r="E22" s="222">
        <f t="shared" ca="1" si="12"/>
        <v>316.38218631709611</v>
      </c>
      <c r="F22" s="222">
        <f t="shared" ca="1" si="13"/>
        <v>529.3765374135578</v>
      </c>
      <c r="G22" s="222">
        <f t="shared" ca="1" si="14"/>
        <v>666.62592181475372</v>
      </c>
      <c r="H22" s="222">
        <f t="shared" ca="1" si="15"/>
        <v>819.59065144115743</v>
      </c>
      <c r="I22" s="222">
        <f t="shared" ca="1" si="16"/>
        <v>989.87456423524714</v>
      </c>
      <c r="J22" s="253"/>
      <c r="K22" s="223">
        <f t="shared" ref="K22:BR22" ca="1" si="18">K15-K21</f>
        <v>24.759720541565272</v>
      </c>
      <c r="L22" s="223">
        <f t="shared" ca="1" si="18"/>
        <v>25.662655554430387</v>
      </c>
      <c r="M22" s="223">
        <f t="shared" ca="1" si="18"/>
        <v>26.573053658597615</v>
      </c>
      <c r="N22" s="223">
        <f t="shared" ca="1" si="18"/>
        <v>27.490974601981407</v>
      </c>
      <c r="O22" s="223">
        <f t="shared" ca="1" si="18"/>
        <v>28.416478600070974</v>
      </c>
      <c r="P22" s="223">
        <f t="shared" ca="1" si="18"/>
        <v>22.206769196670773</v>
      </c>
      <c r="Q22" s="223">
        <f t="shared" ca="1" si="18"/>
        <v>23.147621838953921</v>
      </c>
      <c r="R22" s="223">
        <f t="shared" ca="1" si="18"/>
        <v>24.096241023971526</v>
      </c>
      <c r="S22" s="223">
        <f t="shared" ca="1" si="18"/>
        <v>25.052688873761749</v>
      </c>
      <c r="T22" s="223">
        <f t="shared" ca="1" si="18"/>
        <v>26.017027996199996</v>
      </c>
      <c r="U22" s="223">
        <f t="shared" ca="1" si="18"/>
        <v>30.989321488735765</v>
      </c>
      <c r="V22" s="222">
        <f t="shared" ca="1" si="18"/>
        <v>31.969632942156732</v>
      </c>
      <c r="W22" s="223">
        <f t="shared" ca="1" si="18"/>
        <v>38.480452039620403</v>
      </c>
      <c r="X22" s="223">
        <f t="shared" ca="1" si="18"/>
        <v>39.476992179522867</v>
      </c>
      <c r="Y22" s="223">
        <f t="shared" ca="1" si="18"/>
        <v>40.481744050779298</v>
      </c>
      <c r="Z22" s="223">
        <f t="shared" ca="1" si="18"/>
        <v>41.49477325575053</v>
      </c>
      <c r="AA22" s="223">
        <f t="shared" ca="1" si="18"/>
        <v>42.516145909391554</v>
      </c>
      <c r="AB22" s="223">
        <f t="shared" ca="1" si="18"/>
        <v>43.545928643190564</v>
      </c>
      <c r="AC22" s="223">
        <f t="shared" ca="1" si="18"/>
        <v>44.584188609137755</v>
      </c>
      <c r="AD22" s="223">
        <f t="shared" ca="1" si="18"/>
        <v>45.630993483724922</v>
      </c>
      <c r="AE22" s="223">
        <f t="shared" ca="1" si="18"/>
        <v>46.686411471974523</v>
      </c>
      <c r="AF22" s="223">
        <f t="shared" ca="1" si="18"/>
        <v>47.750511311500375</v>
      </c>
      <c r="AG22" s="223">
        <f t="shared" ca="1" si="18"/>
        <v>48.823362276597976</v>
      </c>
      <c r="AH22" s="222">
        <f t="shared" ca="1" si="18"/>
        <v>49.905034182367118</v>
      </c>
      <c r="AI22" s="223">
        <f t="shared" ca="1" si="18"/>
        <v>49.336144781508892</v>
      </c>
      <c r="AJ22" s="223">
        <f t="shared" ca="1" si="18"/>
        <v>50.435670197932339</v>
      </c>
      <c r="AK22" s="223">
        <f t="shared" ca="1" si="18"/>
        <v>51.544229286838799</v>
      </c>
      <c r="AL22" s="223">
        <f t="shared" ca="1" si="18"/>
        <v>52.661894068390907</v>
      </c>
      <c r="AM22" s="223">
        <f t="shared" ca="1" si="18"/>
        <v>53.788737124638985</v>
      </c>
      <c r="AN22" s="223">
        <f t="shared" ca="1" si="18"/>
        <v>54.924831603833084</v>
      </c>
      <c r="AO22" s="223">
        <f t="shared" ca="1" si="18"/>
        <v>56.070251224769009</v>
      </c>
      <c r="AP22" s="223">
        <f t="shared" ca="1" si="18"/>
        <v>57.225070281167177</v>
      </c>
      <c r="AQ22" s="223">
        <f t="shared" ca="1" si="18"/>
        <v>58.389363646084149</v>
      </c>
      <c r="AR22" s="223">
        <f t="shared" ca="1" si="18"/>
        <v>59.563206776358157</v>
      </c>
      <c r="AS22" s="223">
        <f t="shared" ca="1" si="18"/>
        <v>60.746675717087683</v>
      </c>
      <c r="AT22" s="222">
        <f t="shared" ca="1" si="18"/>
        <v>61.939847106144612</v>
      </c>
      <c r="AU22" s="223">
        <f t="shared" ca="1" si="18"/>
        <v>61.443312324554356</v>
      </c>
      <c r="AV22" s="223">
        <f t="shared" ca="1" si="18"/>
        <v>62.656120917744985</v>
      </c>
      <c r="AW22" s="223">
        <f t="shared" ca="1" si="18"/>
        <v>63.878865475161973</v>
      </c>
      <c r="AX22" s="223">
        <f t="shared" ca="1" si="18"/>
        <v>65.111625051586799</v>
      </c>
      <c r="AY22" s="223">
        <f t="shared" ca="1" si="18"/>
        <v>66.354479317657024</v>
      </c>
      <c r="AZ22" s="223">
        <f t="shared" ca="1" si="18"/>
        <v>67.607508564587519</v>
      </c>
      <c r="BA22" s="223">
        <f t="shared" ca="1" si="18"/>
        <v>68.870793708928559</v>
      </c>
      <c r="BB22" s="223">
        <f t="shared" ca="1" si="18"/>
        <v>70.14441629735947</v>
      </c>
      <c r="BC22" s="223">
        <f t="shared" ca="1" si="18"/>
        <v>71.428458511518329</v>
      </c>
      <c r="BD22" s="223">
        <f t="shared" ca="1" si="18"/>
        <v>72.723003172869042</v>
      </c>
      <c r="BE22" s="223">
        <f t="shared" ca="1" si="18"/>
        <v>74.028133747604031</v>
      </c>
      <c r="BF22" s="222">
        <f t="shared" ca="1" si="18"/>
        <v>75.343934351585233</v>
      </c>
      <c r="BG22" s="223">
        <f t="shared" ca="1" si="18"/>
        <v>74.929931089182958</v>
      </c>
      <c r="BH22" s="223">
        <f t="shared" ca="1" si="18"/>
        <v>76.267326722847358</v>
      </c>
      <c r="BI22" s="223">
        <f t="shared" ca="1" si="18"/>
        <v>77.615648681328068</v>
      </c>
      <c r="BJ22" s="223">
        <f t="shared" ca="1" si="18"/>
        <v>78.974983729321679</v>
      </c>
      <c r="BK22" s="223">
        <f t="shared" ca="1" si="18"/>
        <v>80.345419306463711</v>
      </c>
      <c r="BL22" s="223">
        <f t="shared" ca="1" si="18"/>
        <v>81.727043532497234</v>
      </c>
      <c r="BM22" s="223">
        <f t="shared" ca="1" si="18"/>
        <v>83.119945212480843</v>
      </c>
      <c r="BN22" s="223">
        <f t="shared" ca="1" si="18"/>
        <v>84.524213842037227</v>
      </c>
      <c r="BO22" s="223">
        <f t="shared" ca="1" si="18"/>
        <v>85.939939612639378</v>
      </c>
      <c r="BP22" s="223">
        <f t="shared" ca="1" si="18"/>
        <v>87.367213416939194</v>
      </c>
      <c r="BQ22" s="223">
        <f t="shared" ca="1" si="18"/>
        <v>88.806126854134135</v>
      </c>
      <c r="BR22" s="222">
        <f t="shared" ca="1" si="18"/>
        <v>90.256772235375422</v>
      </c>
    </row>
    <row r="23" spans="1:70" s="14" customFormat="1" ht="13.2" x14ac:dyDescent="0.3">
      <c r="A23" s="13"/>
      <c r="B23" s="13"/>
      <c r="C23" s="185" t="s">
        <v>179</v>
      </c>
      <c r="E23" s="211">
        <f t="shared" si="12"/>
        <v>-32</v>
      </c>
      <c r="F23" s="211">
        <f t="shared" si="13"/>
        <v>0</v>
      </c>
      <c r="G23" s="211">
        <f t="shared" si="14"/>
        <v>0</v>
      </c>
      <c r="H23" s="211">
        <f t="shared" si="15"/>
        <v>0</v>
      </c>
      <c r="I23" s="211">
        <f t="shared" si="16"/>
        <v>10</v>
      </c>
      <c r="J23" s="248"/>
      <c r="K23" s="212">
        <f>CapEx!K52</f>
        <v>0</v>
      </c>
      <c r="L23" s="223">
        <f>CapEx!L52</f>
        <v>0</v>
      </c>
      <c r="M23" s="223">
        <f>CapEx!M52</f>
        <v>0</v>
      </c>
      <c r="N23" s="223">
        <f>CapEx!N52</f>
        <v>0</v>
      </c>
      <c r="O23" s="223">
        <f>CapEx!O52</f>
        <v>0</v>
      </c>
      <c r="P23" s="223">
        <f>CapEx!P52</f>
        <v>0</v>
      </c>
      <c r="Q23" s="223">
        <f>CapEx!Q52</f>
        <v>0</v>
      </c>
      <c r="R23" s="223">
        <f>CapEx!R52</f>
        <v>0</v>
      </c>
      <c r="S23" s="223">
        <f>CapEx!S52</f>
        <v>0</v>
      </c>
      <c r="T23" s="223">
        <f>CapEx!T52</f>
        <v>0</v>
      </c>
      <c r="U23" s="223">
        <f>CapEx!U52</f>
        <v>0</v>
      </c>
      <c r="V23" s="211">
        <f>CapEx!V52</f>
        <v>-32</v>
      </c>
      <c r="W23" s="212">
        <f>CapEx!W52</f>
        <v>0</v>
      </c>
      <c r="X23" s="223">
        <f>CapEx!X52</f>
        <v>0</v>
      </c>
      <c r="Y23" s="223">
        <f>CapEx!Y52</f>
        <v>0</v>
      </c>
      <c r="Z23" s="223">
        <f>CapEx!Z52</f>
        <v>0</v>
      </c>
      <c r="AA23" s="223">
        <f>CapEx!AA52</f>
        <v>0</v>
      </c>
      <c r="AB23" s="223">
        <f>CapEx!AB52</f>
        <v>0</v>
      </c>
      <c r="AC23" s="223">
        <f>CapEx!AC52</f>
        <v>0</v>
      </c>
      <c r="AD23" s="223">
        <f>CapEx!AD52</f>
        <v>0</v>
      </c>
      <c r="AE23" s="223">
        <f>CapEx!AE52</f>
        <v>0</v>
      </c>
      <c r="AF23" s="223">
        <f>CapEx!AF52</f>
        <v>0</v>
      </c>
      <c r="AG23" s="223">
        <f>CapEx!AG52</f>
        <v>0</v>
      </c>
      <c r="AH23" s="211">
        <f>CapEx!AH52</f>
        <v>0</v>
      </c>
      <c r="AI23" s="212">
        <f>CapEx!AI52</f>
        <v>0</v>
      </c>
      <c r="AJ23" s="223">
        <f>CapEx!AJ52</f>
        <v>0</v>
      </c>
      <c r="AK23" s="223">
        <f>CapEx!AK52</f>
        <v>0</v>
      </c>
      <c r="AL23" s="223">
        <f>CapEx!AL52</f>
        <v>0</v>
      </c>
      <c r="AM23" s="223">
        <f>CapEx!AM52</f>
        <v>0</v>
      </c>
      <c r="AN23" s="223">
        <f>CapEx!AN52</f>
        <v>0</v>
      </c>
      <c r="AO23" s="223">
        <f>CapEx!AO52</f>
        <v>0</v>
      </c>
      <c r="AP23" s="223">
        <f>CapEx!AP52</f>
        <v>0</v>
      </c>
      <c r="AQ23" s="223">
        <f>CapEx!AQ52</f>
        <v>0</v>
      </c>
      <c r="AR23" s="223">
        <f>CapEx!AR52</f>
        <v>0</v>
      </c>
      <c r="AS23" s="223">
        <f>CapEx!AS52</f>
        <v>0</v>
      </c>
      <c r="AT23" s="211">
        <f>CapEx!AT52</f>
        <v>0</v>
      </c>
      <c r="AU23" s="212">
        <f>CapEx!AU52</f>
        <v>0</v>
      </c>
      <c r="AV23" s="223">
        <f>CapEx!AV52</f>
        <v>0</v>
      </c>
      <c r="AW23" s="223">
        <f>CapEx!AW52</f>
        <v>0</v>
      </c>
      <c r="AX23" s="223">
        <f>CapEx!AX52</f>
        <v>0</v>
      </c>
      <c r="AY23" s="223">
        <f>CapEx!AY52</f>
        <v>0</v>
      </c>
      <c r="AZ23" s="223">
        <f>CapEx!AZ52</f>
        <v>0</v>
      </c>
      <c r="BA23" s="223">
        <f>CapEx!BA52</f>
        <v>0</v>
      </c>
      <c r="BB23" s="223">
        <f>CapEx!BB52</f>
        <v>0</v>
      </c>
      <c r="BC23" s="223">
        <f>CapEx!BC52</f>
        <v>0</v>
      </c>
      <c r="BD23" s="223">
        <f>CapEx!BD52</f>
        <v>0</v>
      </c>
      <c r="BE23" s="223">
        <f>CapEx!BE52</f>
        <v>0</v>
      </c>
      <c r="BF23" s="211">
        <f>CapEx!BF52</f>
        <v>0</v>
      </c>
      <c r="BG23" s="212">
        <f>CapEx!BG52</f>
        <v>0</v>
      </c>
      <c r="BH23" s="223">
        <f>CapEx!BH52</f>
        <v>0</v>
      </c>
      <c r="BI23" s="223">
        <f>CapEx!BI52</f>
        <v>0</v>
      </c>
      <c r="BJ23" s="223">
        <f>CapEx!BJ52</f>
        <v>0</v>
      </c>
      <c r="BK23" s="223">
        <f>CapEx!BK52</f>
        <v>0</v>
      </c>
      <c r="BL23" s="223">
        <f>CapEx!BL52</f>
        <v>0</v>
      </c>
      <c r="BM23" s="223">
        <f>CapEx!BM52</f>
        <v>15</v>
      </c>
      <c r="BN23" s="223">
        <f>CapEx!BN52</f>
        <v>0</v>
      </c>
      <c r="BO23" s="223">
        <f>CapEx!BO52</f>
        <v>0</v>
      </c>
      <c r="BP23" s="223">
        <f>CapEx!BP52</f>
        <v>-5</v>
      </c>
      <c r="BQ23" s="223">
        <f>CapEx!BQ52</f>
        <v>0</v>
      </c>
      <c r="BR23" s="211">
        <f>CapEx!BR52</f>
        <v>0</v>
      </c>
    </row>
    <row r="24" spans="1:70" s="14" customFormat="1" ht="13.2" x14ac:dyDescent="0.3">
      <c r="A24" s="13"/>
      <c r="B24" s="13"/>
      <c r="C24" s="185" t="s">
        <v>64</v>
      </c>
      <c r="E24" s="211">
        <f t="shared" ca="1" si="12"/>
        <v>32.162252299247584</v>
      </c>
      <c r="F24" s="211">
        <f t="shared" ca="1" si="13"/>
        <v>15.945357121082841</v>
      </c>
      <c r="G24" s="211">
        <f t="shared" ca="1" si="14"/>
        <v>14.349999999999996</v>
      </c>
      <c r="H24" s="211">
        <f t="shared" ca="1" si="15"/>
        <v>14.349999999999996</v>
      </c>
      <c r="I24" s="211">
        <f t="shared" ca="1" si="16"/>
        <v>14.349999999999996</v>
      </c>
      <c r="J24" s="248"/>
      <c r="K24" s="212">
        <f>SUM(Credit!K34:K36)</f>
        <v>0.68958333333333344</v>
      </c>
      <c r="L24" s="213">
        <f ca="1">SUM(Credit!L34:L36)</f>
        <v>2.5414404354076208</v>
      </c>
      <c r="M24" s="213">
        <f ca="1">SUM(Credit!M34:M36)</f>
        <v>2.7888003915770314</v>
      </c>
      <c r="N24" s="213">
        <f ca="1">SUM(Credit!N34:N36)</f>
        <v>3.0712957145479747</v>
      </c>
      <c r="O24" s="213">
        <f ca="1">SUM(Credit!O34:O36)</f>
        <v>2.9456395950066829</v>
      </c>
      <c r="P24" s="213">
        <f ca="1">SUM(Credit!P34:P36)</f>
        <v>2.9925526416754282</v>
      </c>
      <c r="Q24" s="213">
        <f ca="1">SUM(Credit!Q34:Q36)</f>
        <v>3.2636255583701392</v>
      </c>
      <c r="R24" s="213">
        <f ca="1">SUM(Credit!R34:R36)</f>
        <v>3.105985716255637</v>
      </c>
      <c r="S24" s="213">
        <f ca="1">SUM(Credit!S34:S36)</f>
        <v>2.9435926839885265</v>
      </c>
      <c r="T24" s="213">
        <f ca="1">SUM(Credit!T34:T36)</f>
        <v>2.7763921047726012</v>
      </c>
      <c r="U24" s="213">
        <f ca="1">SUM(Credit!U34:U36)</f>
        <v>2.6043291154518107</v>
      </c>
      <c r="V24" s="211">
        <f ca="1">SUM(Credit!V34:V36)</f>
        <v>2.4390150088607925</v>
      </c>
      <c r="W24" s="212">
        <f ca="1">SUM(Credit!W34:W36)</f>
        <v>2.3733616044736805</v>
      </c>
      <c r="X24" s="213">
        <f ca="1">SUM(Credit!X34:X36)</f>
        <v>1.482249184847197</v>
      </c>
      <c r="Y24" s="213">
        <f ca="1">SUM(Credit!Y34:Y36)</f>
        <v>1.3272463317619676</v>
      </c>
      <c r="Z24" s="213">
        <f ca="1">SUM(Credit!Z34:Z36)</f>
        <v>1.1958333333333333</v>
      </c>
      <c r="AA24" s="213">
        <f ca="1">SUM(Credit!AA34:AA36)</f>
        <v>1.1958333333333333</v>
      </c>
      <c r="AB24" s="213">
        <f ca="1">SUM(Credit!AB34:AB36)</f>
        <v>1.1958333333333333</v>
      </c>
      <c r="AC24" s="213">
        <f ca="1">SUM(Credit!AC34:AC36)</f>
        <v>1.1958333333333333</v>
      </c>
      <c r="AD24" s="213">
        <f ca="1">SUM(Credit!AD34:AD36)</f>
        <v>1.1958333333333333</v>
      </c>
      <c r="AE24" s="213">
        <f ca="1">SUM(Credit!AE34:AE36)</f>
        <v>1.1958333333333333</v>
      </c>
      <c r="AF24" s="213">
        <f ca="1">SUM(Credit!AF34:AF36)</f>
        <v>1.1958333333333333</v>
      </c>
      <c r="AG24" s="213">
        <f ca="1">SUM(Credit!AG34:AG36)</f>
        <v>1.1958333333333333</v>
      </c>
      <c r="AH24" s="211">
        <f ca="1">SUM(Credit!AH34:AH36)</f>
        <v>1.1958333333333333</v>
      </c>
      <c r="AI24" s="212">
        <f ca="1">SUM(Credit!AI34:AI36)</f>
        <v>1.1958333333333333</v>
      </c>
      <c r="AJ24" s="213">
        <f ca="1">SUM(Credit!AJ34:AJ36)</f>
        <v>1.1958333333333333</v>
      </c>
      <c r="AK24" s="213">
        <f ca="1">SUM(Credit!AK34:AK36)</f>
        <v>1.1958333333333333</v>
      </c>
      <c r="AL24" s="213">
        <f ca="1">SUM(Credit!AL34:AL36)</f>
        <v>1.1958333333333333</v>
      </c>
      <c r="AM24" s="213">
        <f ca="1">SUM(Credit!AM34:AM36)</f>
        <v>1.1958333333333333</v>
      </c>
      <c r="AN24" s="213">
        <f ca="1">SUM(Credit!AN34:AN36)</f>
        <v>1.1958333333333333</v>
      </c>
      <c r="AO24" s="213">
        <f ca="1">SUM(Credit!AO34:AO36)</f>
        <v>1.1958333333333333</v>
      </c>
      <c r="AP24" s="213">
        <f ca="1">SUM(Credit!AP34:AP36)</f>
        <v>1.1958333333333333</v>
      </c>
      <c r="AQ24" s="213">
        <f ca="1">SUM(Credit!AQ34:AQ36)</f>
        <v>1.1958333333333333</v>
      </c>
      <c r="AR24" s="213">
        <f ca="1">SUM(Credit!AR34:AR36)</f>
        <v>1.1958333333333333</v>
      </c>
      <c r="AS24" s="213">
        <f ca="1">SUM(Credit!AS34:AS36)</f>
        <v>1.1958333333333333</v>
      </c>
      <c r="AT24" s="211">
        <f ca="1">SUM(Credit!AT34:AT36)</f>
        <v>1.1958333333333333</v>
      </c>
      <c r="AU24" s="212">
        <f ca="1">SUM(Credit!AU34:AU36)</f>
        <v>1.1958333333333333</v>
      </c>
      <c r="AV24" s="213">
        <f ca="1">SUM(Credit!AV34:AV36)</f>
        <v>1.1958333333333333</v>
      </c>
      <c r="AW24" s="213">
        <f ca="1">SUM(Credit!AW34:AW36)</f>
        <v>1.1958333333333333</v>
      </c>
      <c r="AX24" s="213">
        <f ca="1">SUM(Credit!AX34:AX36)</f>
        <v>1.1958333333333333</v>
      </c>
      <c r="AY24" s="213">
        <f ca="1">SUM(Credit!AY34:AY36)</f>
        <v>1.1958333333333333</v>
      </c>
      <c r="AZ24" s="213">
        <f ca="1">SUM(Credit!AZ34:AZ36)</f>
        <v>1.1958333333333333</v>
      </c>
      <c r="BA24" s="213">
        <f ca="1">SUM(Credit!BA34:BA36)</f>
        <v>1.1958333333333333</v>
      </c>
      <c r="BB24" s="213">
        <f ca="1">SUM(Credit!BB34:BB36)</f>
        <v>1.1958333333333333</v>
      </c>
      <c r="BC24" s="213">
        <f ca="1">SUM(Credit!BC34:BC36)</f>
        <v>1.1958333333333333</v>
      </c>
      <c r="BD24" s="213">
        <f ca="1">SUM(Credit!BD34:BD36)</f>
        <v>1.1958333333333333</v>
      </c>
      <c r="BE24" s="213">
        <f ca="1">SUM(Credit!BE34:BE36)</f>
        <v>1.1958333333333333</v>
      </c>
      <c r="BF24" s="211">
        <f ca="1">SUM(Credit!BF34:BF36)</f>
        <v>1.1958333333333333</v>
      </c>
      <c r="BG24" s="212">
        <f ca="1">SUM(Credit!BG34:BG36)</f>
        <v>1.1958333333333333</v>
      </c>
      <c r="BH24" s="213">
        <f ca="1">SUM(Credit!BH34:BH36)</f>
        <v>1.1958333333333333</v>
      </c>
      <c r="BI24" s="213">
        <f ca="1">SUM(Credit!BI34:BI36)</f>
        <v>1.1958333333333333</v>
      </c>
      <c r="BJ24" s="213">
        <f ca="1">SUM(Credit!BJ34:BJ36)</f>
        <v>1.1958333333333333</v>
      </c>
      <c r="BK24" s="213">
        <f ca="1">SUM(Credit!BK34:BK36)</f>
        <v>1.1958333333333333</v>
      </c>
      <c r="BL24" s="213">
        <f ca="1">SUM(Credit!BL34:BL36)</f>
        <v>1.1958333333333333</v>
      </c>
      <c r="BM24" s="213">
        <f ca="1">SUM(Credit!BM34:BM36)</f>
        <v>1.1958333333333333</v>
      </c>
      <c r="BN24" s="213">
        <f ca="1">SUM(Credit!BN34:BN36)</f>
        <v>1.1958333333333333</v>
      </c>
      <c r="BO24" s="213">
        <f ca="1">SUM(Credit!BO34:BO36)</f>
        <v>1.1958333333333333</v>
      </c>
      <c r="BP24" s="213">
        <f ca="1">SUM(Credit!BP34:BP36)</f>
        <v>1.1958333333333333</v>
      </c>
      <c r="BQ24" s="213">
        <f ca="1">SUM(Credit!BQ34:BQ36)</f>
        <v>1.1958333333333333</v>
      </c>
      <c r="BR24" s="211">
        <f ca="1">SUM(Credit!BR34:BR36)</f>
        <v>1.1958333333333333</v>
      </c>
    </row>
    <row r="25" spans="1:70" s="14" customFormat="1" ht="13.2" x14ac:dyDescent="0.3">
      <c r="A25" s="40"/>
      <c r="B25" s="13"/>
      <c r="C25" s="246" t="s">
        <v>216</v>
      </c>
      <c r="E25" s="247">
        <f t="shared" ca="1" si="12"/>
        <v>100.88797360713941</v>
      </c>
      <c r="F25" s="247">
        <f t="shared" ca="1" si="13"/>
        <v>205.37247211699002</v>
      </c>
      <c r="G25" s="247">
        <f t="shared" ca="1" si="14"/>
        <v>260.91036872590155</v>
      </c>
      <c r="H25" s="247">
        <f t="shared" ca="1" si="15"/>
        <v>322.09626057646301</v>
      </c>
      <c r="I25" s="247">
        <f t="shared" ca="1" si="16"/>
        <v>394.20982569409887</v>
      </c>
      <c r="J25" s="248"/>
      <c r="K25" s="226">
        <f ca="1">(SUM(K22:K23)-K24)*Taxes</f>
        <v>9.6280548832927764</v>
      </c>
      <c r="L25" s="226">
        <f t="shared" ref="L25:AP25" ca="1" si="19">(SUM(L22:L23)-L24)*Taxes</f>
        <v>9.2484860476091058</v>
      </c>
      <c r="M25" s="226">
        <f t="shared" ca="1" si="19"/>
        <v>9.513701306808235</v>
      </c>
      <c r="N25" s="226">
        <f t="shared" ca="1" si="19"/>
        <v>9.7678715549733734</v>
      </c>
      <c r="O25" s="226">
        <f t="shared" ca="1" si="19"/>
        <v>10.188335602025717</v>
      </c>
      <c r="P25" s="226">
        <f t="shared" ca="1" si="19"/>
        <v>7.6856866219981388</v>
      </c>
      <c r="Q25" s="226">
        <f t="shared" ca="1" si="19"/>
        <v>7.953598512233512</v>
      </c>
      <c r="R25" s="226">
        <f t="shared" ca="1" si="19"/>
        <v>8.3961021230863562</v>
      </c>
      <c r="S25" s="226">
        <f t="shared" ca="1" si="19"/>
        <v>8.8436384759092892</v>
      </c>
      <c r="T25" s="226">
        <f t="shared" ca="1" si="19"/>
        <v>9.2962543565709588</v>
      </c>
      <c r="U25" s="226">
        <f t="shared" ca="1" si="19"/>
        <v>11.353996949313583</v>
      </c>
      <c r="V25" s="247">
        <f t="shared" ca="1" si="19"/>
        <v>-0.98775282668162423</v>
      </c>
      <c r="W25" s="226">
        <f t="shared" ca="1" si="19"/>
        <v>14.442836174058691</v>
      </c>
      <c r="X25" s="226">
        <f t="shared" ca="1" si="19"/>
        <v>15.197897197870269</v>
      </c>
      <c r="Y25" s="226">
        <f t="shared" ca="1" si="19"/>
        <v>15.661799087606932</v>
      </c>
      <c r="Z25" s="226">
        <f t="shared" ca="1" si="19"/>
        <v>16.119575968966881</v>
      </c>
      <c r="AA25" s="226">
        <f t="shared" ca="1" si="19"/>
        <v>16.52812503042329</v>
      </c>
      <c r="AB25" s="226">
        <f t="shared" ca="1" si="19"/>
        <v>16.940038123942895</v>
      </c>
      <c r="AC25" s="226">
        <f t="shared" ca="1" si="19"/>
        <v>17.355342110321768</v>
      </c>
      <c r="AD25" s="226">
        <f t="shared" ca="1" si="19"/>
        <v>17.774064060156636</v>
      </c>
      <c r="AE25" s="226">
        <f t="shared" ca="1" si="19"/>
        <v>18.196231255456478</v>
      </c>
      <c r="AF25" s="226">
        <f t="shared" ca="1" si="19"/>
        <v>18.621871191266816</v>
      </c>
      <c r="AG25" s="226">
        <f t="shared" ca="1" si="19"/>
        <v>19.051011577305857</v>
      </c>
      <c r="AH25" s="247">
        <f t="shared" ca="1" si="19"/>
        <v>19.483680339613514</v>
      </c>
      <c r="AI25" s="226">
        <f t="shared" ca="1" si="19"/>
        <v>19.256124579270224</v>
      </c>
      <c r="AJ25" s="226">
        <f t="shared" ca="1" si="19"/>
        <v>19.695934745839605</v>
      </c>
      <c r="AK25" s="226">
        <f t="shared" ca="1" si="19"/>
        <v>20.139358381402189</v>
      </c>
      <c r="AL25" s="226">
        <f t="shared" ca="1" si="19"/>
        <v>20.586424294023033</v>
      </c>
      <c r="AM25" s="226">
        <f t="shared" ca="1" si="19"/>
        <v>21.037161516522261</v>
      </c>
      <c r="AN25" s="226">
        <f t="shared" ca="1" si="19"/>
        <v>21.491599308199902</v>
      </c>
      <c r="AO25" s="226">
        <f t="shared" ca="1" si="19"/>
        <v>21.949767156574271</v>
      </c>
      <c r="AP25" s="226">
        <f t="shared" ca="1" si="19"/>
        <v>22.411694779133541</v>
      </c>
      <c r="AQ25" s="226">
        <f t="shared" ref="AQ25:BR25" ca="1" si="20">(SUM(AQ22:AQ23)-AQ24)*Taxes</f>
        <v>22.877412125100328</v>
      </c>
      <c r="AR25" s="226">
        <f t="shared" ca="1" si="20"/>
        <v>23.346949377209931</v>
      </c>
      <c r="AS25" s="226">
        <f t="shared" ca="1" si="20"/>
        <v>23.820336953501741</v>
      </c>
      <c r="AT25" s="247">
        <f t="shared" ca="1" si="20"/>
        <v>24.297605509124512</v>
      </c>
      <c r="AU25" s="226">
        <f t="shared" ca="1" si="20"/>
        <v>24.09899159648841</v>
      </c>
      <c r="AV25" s="226">
        <f t="shared" ca="1" si="20"/>
        <v>24.584115033764661</v>
      </c>
      <c r="AW25" s="226">
        <f t="shared" ca="1" si="20"/>
        <v>25.073212856731459</v>
      </c>
      <c r="AX25" s="226">
        <f t="shared" ca="1" si="20"/>
        <v>25.566316687301388</v>
      </c>
      <c r="AY25" s="226">
        <f t="shared" ca="1" si="20"/>
        <v>26.063458393729476</v>
      </c>
      <c r="AZ25" s="226">
        <f t="shared" ca="1" si="20"/>
        <v>26.564670092501672</v>
      </c>
      <c r="BA25" s="226">
        <f t="shared" ca="1" si="20"/>
        <v>27.069984150238088</v>
      </c>
      <c r="BB25" s="226">
        <f t="shared" ca="1" si="20"/>
        <v>27.579433185610455</v>
      </c>
      <c r="BC25" s="226">
        <f t="shared" ca="1" si="20"/>
        <v>28.093050071273996</v>
      </c>
      <c r="BD25" s="226">
        <f t="shared" ca="1" si="20"/>
        <v>28.610867935814284</v>
      </c>
      <c r="BE25" s="226">
        <f t="shared" ca="1" si="20"/>
        <v>29.132920165708278</v>
      </c>
      <c r="BF25" s="247">
        <f t="shared" ca="1" si="20"/>
        <v>29.659240407300757</v>
      </c>
      <c r="BG25" s="226">
        <f t="shared" ca="1" si="20"/>
        <v>29.493639102339849</v>
      </c>
      <c r="BH25" s="226">
        <f t="shared" ca="1" si="20"/>
        <v>30.028597355805609</v>
      </c>
      <c r="BI25" s="226">
        <f t="shared" ca="1" si="20"/>
        <v>30.567926139197894</v>
      </c>
      <c r="BJ25" s="226">
        <f t="shared" ca="1" si="20"/>
        <v>31.111660158395338</v>
      </c>
      <c r="BK25" s="226">
        <f t="shared" ca="1" si="20"/>
        <v>31.659834389252151</v>
      </c>
      <c r="BL25" s="226">
        <f t="shared" ca="1" si="20"/>
        <v>32.212484079665558</v>
      </c>
      <c r="BM25" s="226">
        <f t="shared" ca="1" si="20"/>
        <v>38.769644751659001</v>
      </c>
      <c r="BN25" s="226">
        <f t="shared" ca="1" si="20"/>
        <v>33.331352203481558</v>
      </c>
      <c r="BO25" s="226">
        <f t="shared" ca="1" si="20"/>
        <v>33.897642511722417</v>
      </c>
      <c r="BP25" s="226">
        <f t="shared" ca="1" si="20"/>
        <v>32.468552033442343</v>
      </c>
      <c r="BQ25" s="226">
        <f t="shared" ca="1" si="20"/>
        <v>35.044117408320318</v>
      </c>
      <c r="BR25" s="247">
        <f t="shared" ca="1" si="20"/>
        <v>35.624375560816837</v>
      </c>
    </row>
    <row r="26" spans="1:70" s="175" customFormat="1" ht="13.2" x14ac:dyDescent="0.3">
      <c r="A26" s="40"/>
      <c r="C26" s="175" t="s">
        <v>66</v>
      </c>
      <c r="D26" s="254"/>
      <c r="E26" s="222">
        <f t="shared" ca="1" si="12"/>
        <v>151.33196041070914</v>
      </c>
      <c r="F26" s="222">
        <f t="shared" ca="1" si="13"/>
        <v>308.05870817548504</v>
      </c>
      <c r="G26" s="222">
        <f t="shared" ca="1" si="14"/>
        <v>391.36555308885227</v>
      </c>
      <c r="H26" s="222">
        <f t="shared" ca="1" si="15"/>
        <v>483.14439086469434</v>
      </c>
      <c r="I26" s="222">
        <f t="shared" ca="1" si="16"/>
        <v>591.31473854114824</v>
      </c>
      <c r="J26" s="255"/>
      <c r="K26" s="223">
        <f t="shared" ref="K26:BR26" ca="1" si="21">SUM(K22:K23)-SUM(K24:K25)</f>
        <v>14.442082324939163</v>
      </c>
      <c r="L26" s="223">
        <f t="shared" ca="1" si="21"/>
        <v>13.87272907141366</v>
      </c>
      <c r="M26" s="223">
        <f t="shared" ca="1" si="21"/>
        <v>14.270551960212348</v>
      </c>
      <c r="N26" s="223">
        <f t="shared" ca="1" si="21"/>
        <v>14.651807332460059</v>
      </c>
      <c r="O26" s="223">
        <f t="shared" ca="1" si="21"/>
        <v>15.282503403038575</v>
      </c>
      <c r="P26" s="223">
        <f t="shared" ca="1" si="21"/>
        <v>11.528529932997206</v>
      </c>
      <c r="Q26" s="223">
        <f t="shared" ca="1" si="21"/>
        <v>11.93039776835027</v>
      </c>
      <c r="R26" s="223">
        <f t="shared" ca="1" si="21"/>
        <v>12.594153184629533</v>
      </c>
      <c r="S26" s="223">
        <f t="shared" ca="1" si="21"/>
        <v>13.265457713863933</v>
      </c>
      <c r="T26" s="223">
        <f t="shared" ca="1" si="21"/>
        <v>13.944381534856436</v>
      </c>
      <c r="U26" s="223">
        <f t="shared" ca="1" si="21"/>
        <v>17.030995423970371</v>
      </c>
      <c r="V26" s="222">
        <f t="shared" ca="1" si="21"/>
        <v>-1.4816292400224362</v>
      </c>
      <c r="W26" s="223">
        <f t="shared" ca="1" si="21"/>
        <v>21.664254261088033</v>
      </c>
      <c r="X26" s="223">
        <f t="shared" ca="1" si="21"/>
        <v>22.7968457968054</v>
      </c>
      <c r="Y26" s="223">
        <f t="shared" ca="1" si="21"/>
        <v>23.492698631410398</v>
      </c>
      <c r="Z26" s="223">
        <f t="shared" ca="1" si="21"/>
        <v>24.179363953450316</v>
      </c>
      <c r="AA26" s="223">
        <f t="shared" ca="1" si="21"/>
        <v>24.792187545634931</v>
      </c>
      <c r="AB26" s="223">
        <f t="shared" ca="1" si="21"/>
        <v>25.410057185914336</v>
      </c>
      <c r="AC26" s="223">
        <f t="shared" ca="1" si="21"/>
        <v>26.033013165482654</v>
      </c>
      <c r="AD26" s="223">
        <f t="shared" ca="1" si="21"/>
        <v>26.661096090234953</v>
      </c>
      <c r="AE26" s="223">
        <f t="shared" ca="1" si="21"/>
        <v>27.294346883184712</v>
      </c>
      <c r="AF26" s="223">
        <f t="shared" ca="1" si="21"/>
        <v>27.932806786900226</v>
      </c>
      <c r="AG26" s="223">
        <f t="shared" ca="1" si="21"/>
        <v>28.576517365958786</v>
      </c>
      <c r="AH26" s="222">
        <f t="shared" ca="1" si="21"/>
        <v>29.225520509420271</v>
      </c>
      <c r="AI26" s="223">
        <f t="shared" ca="1" si="21"/>
        <v>28.884186868905335</v>
      </c>
      <c r="AJ26" s="223">
        <f t="shared" ca="1" si="21"/>
        <v>29.543902118759402</v>
      </c>
      <c r="AK26" s="223">
        <f t="shared" ca="1" si="21"/>
        <v>30.209037572103277</v>
      </c>
      <c r="AL26" s="223">
        <f t="shared" ca="1" si="21"/>
        <v>30.879636441034542</v>
      </c>
      <c r="AM26" s="223">
        <f t="shared" ca="1" si="21"/>
        <v>31.555742274783391</v>
      </c>
      <c r="AN26" s="223">
        <f t="shared" ca="1" si="21"/>
        <v>32.237398962299849</v>
      </c>
      <c r="AO26" s="223">
        <f t="shared" ca="1" si="21"/>
        <v>32.924650734861402</v>
      </c>
      <c r="AP26" s="223">
        <f t="shared" ca="1" si="21"/>
        <v>33.617542168700304</v>
      </c>
      <c r="AQ26" s="223">
        <f t="shared" ca="1" si="21"/>
        <v>34.316118187650488</v>
      </c>
      <c r="AR26" s="223">
        <f t="shared" ca="1" si="21"/>
        <v>35.020424065814893</v>
      </c>
      <c r="AS26" s="223">
        <f t="shared" ca="1" si="21"/>
        <v>35.730505430252606</v>
      </c>
      <c r="AT26" s="222">
        <f t="shared" ca="1" si="21"/>
        <v>36.446408263686763</v>
      </c>
      <c r="AU26" s="223">
        <f t="shared" ca="1" si="21"/>
        <v>36.148487394732612</v>
      </c>
      <c r="AV26" s="223">
        <f t="shared" ca="1" si="21"/>
        <v>36.876172550646992</v>
      </c>
      <c r="AW26" s="223">
        <f t="shared" ca="1" si="21"/>
        <v>37.609819285097181</v>
      </c>
      <c r="AX26" s="223">
        <f t="shared" ca="1" si="21"/>
        <v>38.349475030952078</v>
      </c>
      <c r="AY26" s="223">
        <f t="shared" ca="1" si="21"/>
        <v>39.095187590594215</v>
      </c>
      <c r="AZ26" s="223">
        <f t="shared" ca="1" si="21"/>
        <v>39.847005138752515</v>
      </c>
      <c r="BA26" s="223">
        <f t="shared" ca="1" si="21"/>
        <v>40.604976225357134</v>
      </c>
      <c r="BB26" s="223">
        <f t="shared" ca="1" si="21"/>
        <v>41.369149778415682</v>
      </c>
      <c r="BC26" s="223">
        <f t="shared" ca="1" si="21"/>
        <v>42.139575106910996</v>
      </c>
      <c r="BD26" s="223">
        <f t="shared" ca="1" si="21"/>
        <v>42.916301903721426</v>
      </c>
      <c r="BE26" s="223">
        <f t="shared" ca="1" si="21"/>
        <v>43.69938024856242</v>
      </c>
      <c r="BF26" s="222">
        <f t="shared" ca="1" si="21"/>
        <v>44.488860610951143</v>
      </c>
      <c r="BG26" s="223">
        <f t="shared" ca="1" si="21"/>
        <v>44.240458653509776</v>
      </c>
      <c r="BH26" s="223">
        <f t="shared" ca="1" si="21"/>
        <v>45.042896033708416</v>
      </c>
      <c r="BI26" s="223">
        <f t="shared" ca="1" si="21"/>
        <v>45.851889208796841</v>
      </c>
      <c r="BJ26" s="223">
        <f t="shared" ca="1" si="21"/>
        <v>46.667490237593007</v>
      </c>
      <c r="BK26" s="223">
        <f t="shared" ca="1" si="21"/>
        <v>47.489751583878224</v>
      </c>
      <c r="BL26" s="223">
        <f t="shared" ca="1" si="21"/>
        <v>48.318726119498344</v>
      </c>
      <c r="BM26" s="223">
        <f t="shared" ca="1" si="21"/>
        <v>58.154467127488509</v>
      </c>
      <c r="BN26" s="223">
        <f t="shared" ca="1" si="21"/>
        <v>49.997028305222337</v>
      </c>
      <c r="BO26" s="223">
        <f t="shared" ca="1" si="21"/>
        <v>50.846463767583629</v>
      </c>
      <c r="BP26" s="223">
        <f t="shared" ca="1" si="21"/>
        <v>48.702828050163518</v>
      </c>
      <c r="BQ26" s="223">
        <f t="shared" ca="1" si="21"/>
        <v>52.566176112480484</v>
      </c>
      <c r="BR26" s="222">
        <f t="shared" ca="1" si="21"/>
        <v>53.436563341225252</v>
      </c>
    </row>
    <row r="27" spans="1:70" s="262" customFormat="1" ht="13.2" x14ac:dyDescent="0.3">
      <c r="A27" s="128"/>
      <c r="B27" s="256"/>
      <c r="C27" s="257" t="s">
        <v>217</v>
      </c>
      <c r="D27" s="258"/>
      <c r="E27" s="259">
        <f ca="1">E26/E7</f>
        <v>2.7169386796194805E-2</v>
      </c>
      <c r="F27" s="259">
        <f ca="1">F26/F7</f>
        <v>5.0845520776567898E-2</v>
      </c>
      <c r="G27" s="259">
        <f ca="1">G26/G7</f>
        <v>5.9384327006395884E-2</v>
      </c>
      <c r="H27" s="259">
        <f ca="1">H26/H7</f>
        <v>6.7396324829517115E-2</v>
      </c>
      <c r="I27" s="259">
        <f ca="1">I26/I7</f>
        <v>7.5831213915453874E-2</v>
      </c>
      <c r="J27" s="260"/>
      <c r="K27" s="261">
        <f t="shared" ref="K27:BR27" ca="1" si="22">K26/K7</f>
        <v>3.2346721841477251E-2</v>
      </c>
      <c r="L27" s="261">
        <f t="shared" ca="1" si="22"/>
        <v>3.0854477644311356E-2</v>
      </c>
      <c r="M27" s="261">
        <f t="shared" ca="1" si="22"/>
        <v>3.1517582676197184E-2</v>
      </c>
      <c r="N27" s="261">
        <f t="shared" ca="1" si="22"/>
        <v>3.2133583825133018E-2</v>
      </c>
      <c r="O27" s="261">
        <f t="shared" ca="1" si="22"/>
        <v>3.3282681009668517E-2</v>
      </c>
      <c r="P27" s="261">
        <f t="shared" ca="1" si="22"/>
        <v>2.4931796242672603E-2</v>
      </c>
      <c r="Q27" s="261">
        <f t="shared" ca="1" si="22"/>
        <v>2.5620664943327567E-2</v>
      </c>
      <c r="R27" s="261">
        <f t="shared" ca="1" si="22"/>
        <v>2.685717201224419E-2</v>
      </c>
      <c r="S27" s="261">
        <f t="shared" ca="1" si="22"/>
        <v>2.8091141335272629E-2</v>
      </c>
      <c r="T27" s="261">
        <f t="shared" ca="1" si="22"/>
        <v>2.9322583947657715E-2</v>
      </c>
      <c r="U27" s="261">
        <f t="shared" ca="1" si="22"/>
        <v>3.5563037640353658E-2</v>
      </c>
      <c r="V27" s="259">
        <f t="shared" ca="1" si="22"/>
        <v>-3.0722333085203696E-3</v>
      </c>
      <c r="W27" s="261">
        <f t="shared" ca="1" si="22"/>
        <v>4.4608152130357598E-2</v>
      </c>
      <c r="X27" s="261">
        <f t="shared" ca="1" si="22"/>
        <v>4.6612359424862235E-2</v>
      </c>
      <c r="Y27" s="261">
        <f t="shared" ca="1" si="22"/>
        <v>4.7699636394912433E-2</v>
      </c>
      <c r="Z27" s="261">
        <f t="shared" ca="1" si="22"/>
        <v>4.8750926003794055E-2</v>
      </c>
      <c r="AA27" s="261">
        <f t="shared" ca="1" si="22"/>
        <v>4.9637360719304718E-2</v>
      </c>
      <c r="AB27" s="261">
        <f t="shared" ca="1" si="22"/>
        <v>5.0519065838196112E-2</v>
      </c>
      <c r="AC27" s="261">
        <f t="shared" ca="1" si="22"/>
        <v>5.1396073654190515E-2</v>
      </c>
      <c r="AD27" s="261">
        <f t="shared" ca="1" si="22"/>
        <v>5.2268416235817509E-2</v>
      </c>
      <c r="AE27" s="261">
        <f t="shared" ca="1" si="22"/>
        <v>5.3136125427986285E-2</v>
      </c>
      <c r="AF27" s="261">
        <f t="shared" ca="1" si="22"/>
        <v>5.3999232853548032E-2</v>
      </c>
      <c r="AG27" s="261">
        <f t="shared" ca="1" si="22"/>
        <v>5.4857769914846199E-2</v>
      </c>
      <c r="AH27" s="259">
        <f t="shared" ca="1" si="22"/>
        <v>5.5711767795257251E-2</v>
      </c>
      <c r="AI27" s="261">
        <f t="shared" ca="1" si="22"/>
        <v>5.4676494993494841E-2</v>
      </c>
      <c r="AJ27" s="261">
        <f t="shared" ca="1" si="22"/>
        <v>5.5534672142774189E-2</v>
      </c>
      <c r="AK27" s="261">
        <f t="shared" ca="1" si="22"/>
        <v>5.6388310406380968E-2</v>
      </c>
      <c r="AL27" s="261">
        <f t="shared" ca="1" si="22"/>
        <v>5.7237440749317213E-2</v>
      </c>
      <c r="AM27" s="261">
        <f t="shared" ca="1" si="22"/>
        <v>5.8082093920671977E-2</v>
      </c>
      <c r="AN27" s="261">
        <f t="shared" ca="1" si="22"/>
        <v>5.8922300455128397E-2</v>
      </c>
      <c r="AO27" s="261">
        <f t="shared" ca="1" si="22"/>
        <v>5.9758090674461362E-2</v>
      </c>
      <c r="AP27" s="261">
        <f t="shared" ca="1" si="22"/>
        <v>6.0589494689024734E-2</v>
      </c>
      <c r="AQ27" s="261">
        <f t="shared" ca="1" si="22"/>
        <v>6.1416542399227621E-2</v>
      </c>
      <c r="AR27" s="261">
        <f t="shared" ca="1" si="22"/>
        <v>6.2239263497000832E-2</v>
      </c>
      <c r="AS27" s="261">
        <f t="shared" ca="1" si="22"/>
        <v>6.3057687467252654E-2</v>
      </c>
      <c r="AT27" s="259">
        <f t="shared" ca="1" si="22"/>
        <v>6.3871843589314928E-2</v>
      </c>
      <c r="AU27" s="261">
        <f t="shared" ca="1" si="22"/>
        <v>6.2907247239253339E-2</v>
      </c>
      <c r="AV27" s="261">
        <f t="shared" ca="1" si="22"/>
        <v>6.372534955574656E-2</v>
      </c>
      <c r="AW27" s="261">
        <f t="shared" ca="1" si="22"/>
        <v>6.4539184065511485E-2</v>
      </c>
      <c r="AX27" s="261">
        <f t="shared" ca="1" si="22"/>
        <v>6.5348779844568869E-2</v>
      </c>
      <c r="AY27" s="261">
        <f t="shared" ca="1" si="22"/>
        <v>6.6154165766218409E-2</v>
      </c>
      <c r="AZ27" s="261">
        <f t="shared" ca="1" si="22"/>
        <v>6.6955370502453912E-2</v>
      </c>
      <c r="BA27" s="261">
        <f t="shared" ca="1" si="22"/>
        <v>6.775242252536956E-2</v>
      </c>
      <c r="BB27" s="261">
        <f t="shared" ca="1" si="22"/>
        <v>6.8545350108556127E-2</v>
      </c>
      <c r="BC27" s="261">
        <f t="shared" ca="1" si="22"/>
        <v>6.9334181328486802E-2</v>
      </c>
      <c r="BD27" s="261">
        <f t="shared" ca="1" si="22"/>
        <v>7.0118944065894626E-2</v>
      </c>
      <c r="BE27" s="261">
        <f t="shared" ca="1" si="22"/>
        <v>7.0899666007138692E-2</v>
      </c>
      <c r="BF27" s="259">
        <f t="shared" ca="1" si="22"/>
        <v>7.1676374645562188E-2</v>
      </c>
      <c r="BG27" s="261">
        <f t="shared" ca="1" si="22"/>
        <v>7.0778312543860633E-2</v>
      </c>
      <c r="BH27" s="261">
        <f t="shared" ca="1" si="22"/>
        <v>7.1558746618948302E-2</v>
      </c>
      <c r="BI27" s="261">
        <f t="shared" ca="1" si="22"/>
        <v>7.2335167210068649E-2</v>
      </c>
      <c r="BJ27" s="261">
        <f t="shared" ca="1" si="22"/>
        <v>7.3107601621274693E-2</v>
      </c>
      <c r="BK27" s="261">
        <f t="shared" ca="1" si="22"/>
        <v>7.3876076966273144E-2</v>
      </c>
      <c r="BL27" s="261">
        <f t="shared" ca="1" si="22"/>
        <v>7.4640620169753466E-2</v>
      </c>
      <c r="BM27" s="261">
        <f t="shared" ca="1" si="22"/>
        <v>8.920694769286433E-2</v>
      </c>
      <c r="BN27" s="261">
        <f t="shared" ca="1" si="22"/>
        <v>7.6158016913741647E-2</v>
      </c>
      <c r="BO27" s="261">
        <f t="shared" ca="1" si="22"/>
        <v>7.6910923370376749E-2</v>
      </c>
      <c r="BP27" s="261">
        <f t="shared" ca="1" si="22"/>
        <v>7.3153866828264788E-2</v>
      </c>
      <c r="BQ27" s="261">
        <f t="shared" ca="1" si="22"/>
        <v>7.8405283362860026E-2</v>
      </c>
      <c r="BR27" s="259">
        <f t="shared" ca="1" si="22"/>
        <v>7.9146788715916336E-2</v>
      </c>
    </row>
    <row r="28" spans="1:70" s="14" customFormat="1" ht="13.2" x14ac:dyDescent="0.3">
      <c r="A28" s="13"/>
      <c r="C28" s="178" t="s">
        <v>188</v>
      </c>
      <c r="E28" s="215">
        <f ca="1">SUM(K28:V28)</f>
        <v>8.4048204025061022</v>
      </c>
      <c r="F28" s="215">
        <f ca="1">SUM(W28:AH28)</f>
        <v>7.9277066173429009</v>
      </c>
      <c r="G28" s="215">
        <f ca="1">SUM(AI28:AT28)</f>
        <v>0</v>
      </c>
      <c r="H28" s="215">
        <f ca="1">SUM(AU28:BF28)</f>
        <v>0</v>
      </c>
      <c r="I28" s="215">
        <f ca="1">SUM(BG28:BR28)</f>
        <v>0</v>
      </c>
      <c r="J28" s="248"/>
      <c r="K28" s="216">
        <f ca="1">IFERROR(IF(SUM(K26:OFFSET(K26,0,MAX(-K4+1,-11)))&lt;0,0,SUM(K26:OFFSET(K26,0,MAX(-K4+1,-11)))*VLOOKUP(K4,Drivers!$B$7:$G$66,6,FALSE)),0)</f>
        <v>0</v>
      </c>
      <c r="L28" s="216">
        <f ca="1">IFERROR(IF(SUM(L26:OFFSET(L26,0,MAX(-L4+1,-11)))&lt;0,0,SUM(L26:OFFSET(L26,0,MAX(-L4+1,-11)))*VLOOKUP(L4,Drivers!$B$7:$G$66,6,FALSE)),0)</f>
        <v>0</v>
      </c>
      <c r="M28" s="216">
        <f ca="1">IFERROR(IF(SUM(M26:OFFSET(M26,0,MAX(-M4+1,-11)))&lt;0,0,SUM(M26:OFFSET(M26,0,MAX(-M4+1,-11)))*VLOOKUP(M4,Drivers!$B$7:$G$66,6,FALSE)),0)</f>
        <v>0</v>
      </c>
      <c r="N28" s="216">
        <f ca="1">IFERROR(IF(SUM(N26:OFFSET(N26,0,MAX(-N4+1,-11)))&lt;0,0,SUM(N26:OFFSET(N26,0,MAX(-N4+1,-11)))*VLOOKUP(N4,Drivers!$B$7:$G$66,6,FALSE)),0)</f>
        <v>0</v>
      </c>
      <c r="O28" s="216">
        <f ca="1">IFERROR(IF(SUM(O26:OFFSET(O26,0,MAX(-O4+1,-11)))&lt;0,0,SUM(O26:OFFSET(O26,0,MAX(-O4+1,-11)))*VLOOKUP(O4,Drivers!$B$7:$G$66,6,FALSE)),0)</f>
        <v>0</v>
      </c>
      <c r="P28" s="216">
        <f ca="1">IFERROR(IF(SUM(P26:OFFSET(P26,0,MAX(-P4+1,-11)))&lt;0,0,SUM(P26:OFFSET(P26,0,MAX(-P4+1,-11)))*VLOOKUP(P4,Drivers!$B$7:$G$66,6,FALSE)),0)</f>
        <v>8.4048204025061022</v>
      </c>
      <c r="Q28" s="216">
        <f ca="1">IFERROR(IF(SUM(Q26:OFFSET(Q26,0,MAX(-Q4+1,-11)))&lt;0,0,SUM(Q26:OFFSET(Q26,0,MAX(-Q4+1,-11)))*VLOOKUP(Q4,Drivers!$B$7:$G$66,6,FALSE)),0)</f>
        <v>0</v>
      </c>
      <c r="R28" s="216">
        <f ca="1">IFERROR(IF(SUM(R26:OFFSET(R26,0,MAX(-R4+1,-11)))&lt;0,0,SUM(R26:OFFSET(R26,0,MAX(-R4+1,-11)))*VLOOKUP(R4,Drivers!$B$7:$G$66,6,FALSE)),0)</f>
        <v>0</v>
      </c>
      <c r="S28" s="216">
        <f ca="1">IFERROR(IF(SUM(S26:OFFSET(S26,0,MAX(-S4+1,-11)))&lt;0,0,SUM(S26:OFFSET(S26,0,MAX(-S4+1,-11)))*VLOOKUP(S4,Drivers!$B$7:$G$66,6,FALSE)),0)</f>
        <v>0</v>
      </c>
      <c r="T28" s="216">
        <f ca="1">IFERROR(IF(SUM(T26:OFFSET(T26,0,MAX(-T4+1,-11)))&lt;0,0,SUM(T26:OFFSET(T26,0,MAX(-T4+1,-11)))*VLOOKUP(T4,Drivers!$B$7:$G$66,6,FALSE)),0)</f>
        <v>0</v>
      </c>
      <c r="U28" s="216">
        <f ca="1">IFERROR(IF(SUM(U26:OFFSET(U26,0,MAX(-U4+1,-11)))&lt;0,0,SUM(U26:OFFSET(U26,0,MAX(-U4+1,-11)))*VLOOKUP(U4,Drivers!$B$7:$G$66,6,FALSE)),0)</f>
        <v>0</v>
      </c>
      <c r="V28" s="215">
        <f ca="1">IFERROR(IF(SUM(V26:OFFSET(V26,0,MAX(-V4+1,-11)))&lt;0,0,SUM(V26:OFFSET(V26,0,MAX(-V4+1,-11)))*VLOOKUP(V4,Drivers!$B$7:$G$66,6,FALSE)),0)</f>
        <v>0</v>
      </c>
      <c r="W28" s="216">
        <f ca="1">IFERROR(IF(SUM(W26:OFFSET(W26,0,MAX(-W4+1,-11)))&lt;0,0,SUM(W26:OFFSET(W26,0,MAX(-W4+1,-11)))*VLOOKUP(W4,Drivers!$B$7:$G$66,6,FALSE)),0)</f>
        <v>7.9277066173429009</v>
      </c>
      <c r="X28" s="216">
        <f ca="1">IFERROR(IF(SUM(X26:OFFSET(X26,0,MAX(-X4+1,-11)))&lt;0,0,SUM(X26:OFFSET(X26,0,MAX(-X4+1,-11)))*VLOOKUP(X4,Drivers!$B$7:$G$66,6,FALSE)),0)</f>
        <v>0</v>
      </c>
      <c r="Y28" s="216">
        <f ca="1">IFERROR(IF(SUM(Y26:OFFSET(Y26,0,MAX(-Y4+1,-11)))&lt;0,0,SUM(Y26:OFFSET(Y26,0,MAX(-Y4+1,-11)))*VLOOKUP(Y4,Drivers!$B$7:$G$66,6,FALSE)),0)</f>
        <v>0</v>
      </c>
      <c r="Z28" s="216">
        <f ca="1">IFERROR(IF(SUM(Z26:OFFSET(Z26,0,MAX(-Z4+1,-11)))&lt;0,0,SUM(Z26:OFFSET(Z26,0,MAX(-Z4+1,-11)))*VLOOKUP(Z4,Drivers!$B$7:$G$66,6,FALSE)),0)</f>
        <v>0</v>
      </c>
      <c r="AA28" s="216">
        <f ca="1">IFERROR(IF(SUM(AA26:OFFSET(AA26,0,MAX(-AA4+1,-11)))&lt;0,0,SUM(AA26:OFFSET(AA26,0,MAX(-AA4+1,-11)))*VLOOKUP(AA4,Drivers!$B$7:$G$66,6,FALSE)),0)</f>
        <v>0</v>
      </c>
      <c r="AB28" s="216">
        <f ca="1">IFERROR(IF(SUM(AB26:OFFSET(AB26,0,MAX(-AB4+1,-11)))&lt;0,0,SUM(AB26:OFFSET(AB26,0,MAX(-AB4+1,-11)))*VLOOKUP(AB4,Drivers!$B$7:$G$66,6,FALSE)),0)</f>
        <v>0</v>
      </c>
      <c r="AC28" s="216">
        <f ca="1">IFERROR(IF(SUM(AC26:OFFSET(AC26,0,MAX(-AC4+1,-11)))&lt;0,0,SUM(AC26:OFFSET(AC26,0,MAX(-AC4+1,-11)))*VLOOKUP(AC4,Drivers!$B$7:$G$66,6,FALSE)),0)</f>
        <v>0</v>
      </c>
      <c r="AD28" s="216">
        <f ca="1">IFERROR(IF(SUM(AD26:OFFSET(AD26,0,MAX(-AD4+1,-11)))&lt;0,0,SUM(AD26:OFFSET(AD26,0,MAX(-AD4+1,-11)))*VLOOKUP(AD4,Drivers!$B$7:$G$66,6,FALSE)),0)</f>
        <v>0</v>
      </c>
      <c r="AE28" s="216">
        <f ca="1">IFERROR(IF(SUM(AE26:OFFSET(AE26,0,MAX(-AE4+1,-11)))&lt;0,0,SUM(AE26:OFFSET(AE26,0,MAX(-AE4+1,-11)))*VLOOKUP(AE4,Drivers!$B$7:$G$66,6,FALSE)),0)</f>
        <v>0</v>
      </c>
      <c r="AF28" s="216">
        <f ca="1">IFERROR(IF(SUM(AF26:OFFSET(AF26,0,MAX(-AF4+1,-11)))&lt;0,0,SUM(AF26:OFFSET(AF26,0,MAX(-AF4+1,-11)))*VLOOKUP(AF4,Drivers!$B$7:$G$66,6,FALSE)),0)</f>
        <v>0</v>
      </c>
      <c r="AG28" s="216">
        <f ca="1">IFERROR(IF(SUM(AG26:OFFSET(AG26,0,MAX(-AG4+1,-11)))&lt;0,0,SUM(AG26:OFFSET(AG26,0,MAX(-AG4+1,-11)))*VLOOKUP(AG4,Drivers!$B$7:$G$66,6,FALSE)),0)</f>
        <v>0</v>
      </c>
      <c r="AH28" s="215">
        <f ca="1">IFERROR(IF(SUM(AH26:OFFSET(AH26,0,MAX(-AH4+1,-11)))&lt;0,0,SUM(AH26:OFFSET(AH26,0,MAX(-AH4+1,-11)))*VLOOKUP(AH4,Drivers!$B$7:$G$66,6,FALSE)),0)</f>
        <v>0</v>
      </c>
      <c r="AI28" s="216">
        <f ca="1">IFERROR(IF(SUM(AI26:OFFSET(AI26,0,MAX(-AI4+1,-11)))&lt;0,0,SUM(AI26:OFFSET(AI26,0,MAX(-AI4+1,-11)))*VLOOKUP(AI4,Drivers!$B$7:$G$66,6,FALSE)),0)</f>
        <v>0</v>
      </c>
      <c r="AJ28" s="216">
        <f ca="1">IFERROR(IF(SUM(AJ26:OFFSET(AJ26,0,MAX(-AJ4+1,-11)))&lt;0,0,SUM(AJ26:OFFSET(AJ26,0,MAX(-AJ4+1,-11)))*VLOOKUP(AJ4,Drivers!$B$7:$G$66,6,FALSE)),0)</f>
        <v>0</v>
      </c>
      <c r="AK28" s="216">
        <f ca="1">IFERROR(IF(SUM(AK26:OFFSET(AK26,0,MAX(-AK4+1,-11)))&lt;0,0,SUM(AK26:OFFSET(AK26,0,MAX(-AK4+1,-11)))*VLOOKUP(AK4,Drivers!$B$7:$G$66,6,FALSE)),0)</f>
        <v>0</v>
      </c>
      <c r="AL28" s="216">
        <f ca="1">IFERROR(IF(SUM(AL26:OFFSET(AL26,0,MAX(-AL4+1,-11)))&lt;0,0,SUM(AL26:OFFSET(AL26,0,MAX(-AL4+1,-11)))*VLOOKUP(AL4,Drivers!$B$7:$G$66,6,FALSE)),0)</f>
        <v>0</v>
      </c>
      <c r="AM28" s="216">
        <f ca="1">IFERROR(IF(SUM(AM26:OFFSET(AM26,0,MAX(-AM4+1,-11)))&lt;0,0,SUM(AM26:OFFSET(AM26,0,MAX(-AM4+1,-11)))*VLOOKUP(AM4,Drivers!$B$7:$G$66,6,FALSE)),0)</f>
        <v>0</v>
      </c>
      <c r="AN28" s="216">
        <f ca="1">IFERROR(IF(SUM(AN26:OFFSET(AN26,0,MAX(-AN4+1,-11)))&lt;0,0,SUM(AN26:OFFSET(AN26,0,MAX(-AN4+1,-11)))*VLOOKUP(AN4,Drivers!$B$7:$G$66,6,FALSE)),0)</f>
        <v>0</v>
      </c>
      <c r="AO28" s="216">
        <f ca="1">IFERROR(IF(SUM(AO26:OFFSET(AO26,0,MAX(-AO4+1,-11)))&lt;0,0,SUM(AO26:OFFSET(AO26,0,MAX(-AO4+1,-11)))*VLOOKUP(AO4,Drivers!$B$7:$G$66,6,FALSE)),0)</f>
        <v>0</v>
      </c>
      <c r="AP28" s="216">
        <f ca="1">IFERROR(IF(SUM(AP26:OFFSET(AP26,0,MAX(-AP4+1,-11)))&lt;0,0,SUM(AP26:OFFSET(AP26,0,MAX(-AP4+1,-11)))*VLOOKUP(AP4,Drivers!$B$7:$G$66,6,FALSE)),0)</f>
        <v>0</v>
      </c>
      <c r="AQ28" s="216">
        <f ca="1">IFERROR(IF(SUM(AQ26:OFFSET(AQ26,0,MAX(-AQ4+1,-11)))&lt;0,0,SUM(AQ26:OFFSET(AQ26,0,MAX(-AQ4+1,-11)))*VLOOKUP(AQ4,Drivers!$B$7:$G$66,6,FALSE)),0)</f>
        <v>0</v>
      </c>
      <c r="AR28" s="216">
        <f ca="1">IFERROR(IF(SUM(AR26:OFFSET(AR26,0,MAX(-AR4+1,-11)))&lt;0,0,SUM(AR26:OFFSET(AR26,0,MAX(-AR4+1,-11)))*VLOOKUP(AR4,Drivers!$B$7:$G$66,6,FALSE)),0)</f>
        <v>0</v>
      </c>
      <c r="AS28" s="216">
        <f ca="1">IFERROR(IF(SUM(AS26:OFFSET(AS26,0,MAX(-AS4+1,-11)))&lt;0,0,SUM(AS26:OFFSET(AS26,0,MAX(-AS4+1,-11)))*VLOOKUP(AS4,Drivers!$B$7:$G$66,6,FALSE)),0)</f>
        <v>0</v>
      </c>
      <c r="AT28" s="215">
        <f ca="1">IFERROR(IF(SUM(AT26:OFFSET(AT26,0,MAX(-AT4+1,-11)))&lt;0,0,SUM(AT26:OFFSET(AT26,0,MAX(-AT4+1,-11)))*VLOOKUP(AT4,Drivers!$B$7:$G$66,6,FALSE)),0)</f>
        <v>0</v>
      </c>
      <c r="AU28" s="216">
        <f ca="1">IFERROR(IF(SUM(AU26:OFFSET(AU26,0,MAX(-AU4+1,-11)))&lt;0,0,SUM(AU26:OFFSET(AU26,0,MAX(-AU4+1,-11)))*VLOOKUP(AU4,Drivers!$B$7:$G$66,6,FALSE)),0)</f>
        <v>0</v>
      </c>
      <c r="AV28" s="216">
        <f ca="1">IFERROR(IF(SUM(AV26:OFFSET(AV26,0,MAX(-AV4+1,-11)))&lt;0,0,SUM(AV26:OFFSET(AV26,0,MAX(-AV4+1,-11)))*VLOOKUP(AV4,Drivers!$B$7:$G$66,6,FALSE)),0)</f>
        <v>0</v>
      </c>
      <c r="AW28" s="216">
        <f ca="1">IFERROR(IF(SUM(AW26:OFFSET(AW26,0,MAX(-AW4+1,-11)))&lt;0,0,SUM(AW26:OFFSET(AW26,0,MAX(-AW4+1,-11)))*VLOOKUP(AW4,Drivers!$B$7:$G$66,6,FALSE)),0)</f>
        <v>0</v>
      </c>
      <c r="AX28" s="216">
        <f ca="1">IFERROR(IF(SUM(AX26:OFFSET(AX26,0,MAX(-AX4+1,-11)))&lt;0,0,SUM(AX26:OFFSET(AX26,0,MAX(-AX4+1,-11)))*VLOOKUP(AX4,Drivers!$B$7:$G$66,6,FALSE)),0)</f>
        <v>0</v>
      </c>
      <c r="AY28" s="216">
        <f ca="1">IFERROR(IF(SUM(AY26:OFFSET(AY26,0,MAX(-AY4+1,-11)))&lt;0,0,SUM(AY26:OFFSET(AY26,0,MAX(-AY4+1,-11)))*VLOOKUP(AY4,Drivers!$B$7:$G$66,6,FALSE)),0)</f>
        <v>0</v>
      </c>
      <c r="AZ28" s="216">
        <f ca="1">IFERROR(IF(SUM(AZ26:OFFSET(AZ26,0,MAX(-AZ4+1,-11)))&lt;0,0,SUM(AZ26:OFFSET(AZ26,0,MAX(-AZ4+1,-11)))*VLOOKUP(AZ4,Drivers!$B$7:$G$66,6,FALSE)),0)</f>
        <v>0</v>
      </c>
      <c r="BA28" s="216">
        <f ca="1">IFERROR(IF(SUM(BA26:OFFSET(BA26,0,MAX(-BA4+1,-11)))&lt;0,0,SUM(BA26:OFFSET(BA26,0,MAX(-BA4+1,-11)))*VLOOKUP(BA4,Drivers!$B$7:$G$66,6,FALSE)),0)</f>
        <v>0</v>
      </c>
      <c r="BB28" s="216">
        <f ca="1">IFERROR(IF(SUM(BB26:OFFSET(BB26,0,MAX(-BB4+1,-11)))&lt;0,0,SUM(BB26:OFFSET(BB26,0,MAX(-BB4+1,-11)))*VLOOKUP(BB4,Drivers!$B$7:$G$66,6,FALSE)),0)</f>
        <v>0</v>
      </c>
      <c r="BC28" s="216">
        <f ca="1">IFERROR(IF(SUM(BC26:OFFSET(BC26,0,MAX(-BC4+1,-11)))&lt;0,0,SUM(BC26:OFFSET(BC26,0,MAX(-BC4+1,-11)))*VLOOKUP(BC4,Drivers!$B$7:$G$66,6,FALSE)),0)</f>
        <v>0</v>
      </c>
      <c r="BD28" s="216">
        <f ca="1">IFERROR(IF(SUM(BD26:OFFSET(BD26,0,MAX(-BD4+1,-11)))&lt;0,0,SUM(BD26:OFFSET(BD26,0,MAX(-BD4+1,-11)))*VLOOKUP(BD4,Drivers!$B$7:$G$66,6,FALSE)),0)</f>
        <v>0</v>
      </c>
      <c r="BE28" s="216">
        <f ca="1">IFERROR(IF(SUM(BE26:OFFSET(BE26,0,MAX(-BE4+1,-11)))&lt;0,0,SUM(BE26:OFFSET(BE26,0,MAX(-BE4+1,-11)))*VLOOKUP(BE4,Drivers!$B$7:$G$66,6,FALSE)),0)</f>
        <v>0</v>
      </c>
      <c r="BF28" s="215">
        <f ca="1">IFERROR(IF(SUM(BF26:OFFSET(BF26,0,MAX(-BF4+1,-11)))&lt;0,0,SUM(BF26:OFFSET(BF26,0,MAX(-BF4+1,-11)))*VLOOKUP(BF4,Drivers!$B$7:$G$66,6,FALSE)),0)</f>
        <v>0</v>
      </c>
      <c r="BG28" s="216">
        <f ca="1">IFERROR(IF(SUM(BG26:OFFSET(BG26,0,MAX(-BG4+1,-11)))&lt;0,0,SUM(BG26:OFFSET(BG26,0,MAX(-BG4+1,-11)))*VLOOKUP(BG4,Drivers!$B$7:$G$66,6,FALSE)),0)</f>
        <v>0</v>
      </c>
      <c r="BH28" s="216">
        <f ca="1">IFERROR(IF(SUM(BH26:OFFSET(BH26,0,MAX(-BH4+1,-11)))&lt;0,0,SUM(BH26:OFFSET(BH26,0,MAX(-BH4+1,-11)))*VLOOKUP(BH4,Drivers!$B$7:$G$66,6,FALSE)),0)</f>
        <v>0</v>
      </c>
      <c r="BI28" s="216">
        <f ca="1">IFERROR(IF(SUM(BI26:OFFSET(BI26,0,MAX(-BI4+1,-11)))&lt;0,0,SUM(BI26:OFFSET(BI26,0,MAX(-BI4+1,-11)))*VLOOKUP(BI4,Drivers!$B$7:$G$66,6,FALSE)),0)</f>
        <v>0</v>
      </c>
      <c r="BJ28" s="216">
        <f ca="1">IFERROR(IF(SUM(BJ26:OFFSET(BJ26,0,MAX(-BJ4+1,-11)))&lt;0,0,SUM(BJ26:OFFSET(BJ26,0,MAX(-BJ4+1,-11)))*VLOOKUP(BJ4,Drivers!$B$7:$G$66,6,FALSE)),0)</f>
        <v>0</v>
      </c>
      <c r="BK28" s="216">
        <f ca="1">IFERROR(IF(SUM(BK26:OFFSET(BK26,0,MAX(-BK4+1,-11)))&lt;0,0,SUM(BK26:OFFSET(BK26,0,MAX(-BK4+1,-11)))*VLOOKUP(BK4,Drivers!$B$7:$G$66,6,FALSE)),0)</f>
        <v>0</v>
      </c>
      <c r="BL28" s="216">
        <f ca="1">IFERROR(IF(SUM(BL26:OFFSET(BL26,0,MAX(-BL4+1,-11)))&lt;0,0,SUM(BL26:OFFSET(BL26,0,MAX(-BL4+1,-11)))*VLOOKUP(BL4,Drivers!$B$7:$G$66,6,FALSE)),0)</f>
        <v>0</v>
      </c>
      <c r="BM28" s="216">
        <f ca="1">IFERROR(IF(SUM(BM26:OFFSET(BM26,0,MAX(-BM4+1,-11)))&lt;0,0,SUM(BM26:OFFSET(BM26,0,MAX(-BM4+1,-11)))*VLOOKUP(BM4,Drivers!$B$7:$G$66,6,FALSE)),0)</f>
        <v>0</v>
      </c>
      <c r="BN28" s="216">
        <f ca="1">IFERROR(IF(SUM(BN26:OFFSET(BN26,0,MAX(-BN4+1,-11)))&lt;0,0,SUM(BN26:OFFSET(BN26,0,MAX(-BN4+1,-11)))*VLOOKUP(BN4,Drivers!$B$7:$G$66,6,FALSE)),0)</f>
        <v>0</v>
      </c>
      <c r="BO28" s="216">
        <f ca="1">IFERROR(IF(SUM(BO26:OFFSET(BO26,0,MAX(-BO4+1,-11)))&lt;0,0,SUM(BO26:OFFSET(BO26,0,MAX(-BO4+1,-11)))*VLOOKUP(BO4,Drivers!$B$7:$G$66,6,FALSE)),0)</f>
        <v>0</v>
      </c>
      <c r="BP28" s="216">
        <f ca="1">IFERROR(IF(SUM(BP26:OFFSET(BP26,0,MAX(-BP4+1,-11)))&lt;0,0,SUM(BP26:OFFSET(BP26,0,MAX(-BP4+1,-11)))*VLOOKUP(BP4,Drivers!$B$7:$G$66,6,FALSE)),0)</f>
        <v>0</v>
      </c>
      <c r="BQ28" s="216">
        <f ca="1">IFERROR(IF(SUM(BQ26:OFFSET(BQ26,0,MAX(-BQ4+1,-11)))&lt;0,0,SUM(BQ26:OFFSET(BQ26,0,MAX(-BQ4+1,-11)))*VLOOKUP(BQ4,Drivers!$B$7:$G$66,6,FALSE)),0)</f>
        <v>0</v>
      </c>
      <c r="BR28" s="215">
        <f ca="1">IFERROR(IF(SUM(BR26:OFFSET(BR26,0,MAX(-BR4+1,-11)))&lt;0,0,SUM(BR26:OFFSET(BR26,0,MAX(-BR4+1,-11)))*VLOOKUP(BR4,Drivers!$B$7:$G$66,6,FALSE)),0)</f>
        <v>0</v>
      </c>
    </row>
    <row r="29" spans="1:70" ht="13.2" x14ac:dyDescent="0.3">
      <c r="B29" s="34"/>
      <c r="C29" s="181" t="s">
        <v>140</v>
      </c>
      <c r="E29" s="217">
        <f ca="1">V29</f>
        <v>142.92714000820303</v>
      </c>
      <c r="F29" s="217">
        <f ca="1">AH29</f>
        <v>443.05814156634517</v>
      </c>
      <c r="G29" s="217">
        <f ca="1">AT29</f>
        <v>834.42369465519744</v>
      </c>
      <c r="H29" s="217">
        <f ca="1">BF29</f>
        <v>1317.5680855198918</v>
      </c>
      <c r="I29" s="217">
        <f ca="1">BR29</f>
        <v>1908.8828240610401</v>
      </c>
      <c r="J29" s="212"/>
      <c r="K29" s="212">
        <f ca="1">K26-K28</f>
        <v>14.442082324939163</v>
      </c>
      <c r="L29" s="212">
        <f t="shared" ref="L29:BR29" ca="1" si="23">L26-L28+K29</f>
        <v>28.314811396352823</v>
      </c>
      <c r="M29" s="212">
        <f t="shared" ca="1" si="23"/>
        <v>42.585363356565168</v>
      </c>
      <c r="N29" s="212">
        <f t="shared" ca="1" si="23"/>
        <v>57.237170689025227</v>
      </c>
      <c r="O29" s="212">
        <f t="shared" ca="1" si="23"/>
        <v>72.519674092063809</v>
      </c>
      <c r="P29" s="212">
        <f t="shared" ca="1" si="23"/>
        <v>75.643383622554907</v>
      </c>
      <c r="Q29" s="212">
        <f t="shared" ca="1" si="23"/>
        <v>87.573781390905182</v>
      </c>
      <c r="R29" s="212">
        <f t="shared" ca="1" si="23"/>
        <v>100.16793457553472</v>
      </c>
      <c r="S29" s="212">
        <f t="shared" ca="1" si="23"/>
        <v>113.43339228939865</v>
      </c>
      <c r="T29" s="212">
        <f t="shared" ca="1" si="23"/>
        <v>127.37777382425509</v>
      </c>
      <c r="U29" s="212">
        <f t="shared" ca="1" si="23"/>
        <v>144.40876924822547</v>
      </c>
      <c r="V29" s="217">
        <f t="shared" ca="1" si="23"/>
        <v>142.92714000820303</v>
      </c>
      <c r="W29" s="212">
        <f t="shared" ca="1" si="23"/>
        <v>156.66368765194815</v>
      </c>
      <c r="X29" s="212">
        <f t="shared" ca="1" si="23"/>
        <v>179.46053344875355</v>
      </c>
      <c r="Y29" s="212">
        <f t="shared" ca="1" si="23"/>
        <v>202.95323208016396</v>
      </c>
      <c r="Z29" s="212">
        <f t="shared" ca="1" si="23"/>
        <v>227.13259603361428</v>
      </c>
      <c r="AA29" s="212">
        <f t="shared" ca="1" si="23"/>
        <v>251.92478357924921</v>
      </c>
      <c r="AB29" s="212">
        <f t="shared" ca="1" si="23"/>
        <v>277.33484076516356</v>
      </c>
      <c r="AC29" s="212">
        <f t="shared" ca="1" si="23"/>
        <v>303.36785393064622</v>
      </c>
      <c r="AD29" s="212">
        <f t="shared" ca="1" si="23"/>
        <v>330.02895002088115</v>
      </c>
      <c r="AE29" s="212">
        <f t="shared" ca="1" si="23"/>
        <v>357.32329690406584</v>
      </c>
      <c r="AF29" s="212">
        <f t="shared" ca="1" si="23"/>
        <v>385.25610369096609</v>
      </c>
      <c r="AG29" s="212">
        <f t="shared" ca="1" si="23"/>
        <v>413.83262105692489</v>
      </c>
      <c r="AH29" s="217">
        <f t="shared" ca="1" si="23"/>
        <v>443.05814156634517</v>
      </c>
      <c r="AI29" s="212">
        <f t="shared" ca="1" si="23"/>
        <v>471.94232843525049</v>
      </c>
      <c r="AJ29" s="212">
        <f t="shared" ca="1" si="23"/>
        <v>501.48623055400986</v>
      </c>
      <c r="AK29" s="212">
        <f t="shared" ca="1" si="23"/>
        <v>531.69526812611309</v>
      </c>
      <c r="AL29" s="212">
        <f t="shared" ca="1" si="23"/>
        <v>562.57490456714766</v>
      </c>
      <c r="AM29" s="212">
        <f t="shared" ca="1" si="23"/>
        <v>594.13064684193102</v>
      </c>
      <c r="AN29" s="212">
        <f t="shared" ca="1" si="23"/>
        <v>626.36804580423086</v>
      </c>
      <c r="AO29" s="212">
        <f t="shared" ca="1" si="23"/>
        <v>659.29269653909228</v>
      </c>
      <c r="AP29" s="212">
        <f t="shared" ca="1" si="23"/>
        <v>692.91023870779259</v>
      </c>
      <c r="AQ29" s="212">
        <f t="shared" ca="1" si="23"/>
        <v>727.22635689544313</v>
      </c>
      <c r="AR29" s="212">
        <f t="shared" ca="1" si="23"/>
        <v>762.24678096125808</v>
      </c>
      <c r="AS29" s="212">
        <f t="shared" ca="1" si="23"/>
        <v>797.97728639151069</v>
      </c>
      <c r="AT29" s="217">
        <f t="shared" ca="1" si="23"/>
        <v>834.42369465519744</v>
      </c>
      <c r="AU29" s="212">
        <f t="shared" ca="1" si="23"/>
        <v>870.57218204993001</v>
      </c>
      <c r="AV29" s="212">
        <f t="shared" ca="1" si="23"/>
        <v>907.44835460057698</v>
      </c>
      <c r="AW29" s="212">
        <f t="shared" ca="1" si="23"/>
        <v>945.05817388567414</v>
      </c>
      <c r="AX29" s="212">
        <f t="shared" ca="1" si="23"/>
        <v>983.40764891662616</v>
      </c>
      <c r="AY29" s="212">
        <f t="shared" ca="1" si="23"/>
        <v>1022.5028365072204</v>
      </c>
      <c r="AZ29" s="212">
        <f t="shared" ca="1" si="23"/>
        <v>1062.3498416459729</v>
      </c>
      <c r="BA29" s="212">
        <f t="shared" ca="1" si="23"/>
        <v>1102.9548178713301</v>
      </c>
      <c r="BB29" s="212">
        <f t="shared" ca="1" si="23"/>
        <v>1144.3239676497458</v>
      </c>
      <c r="BC29" s="212">
        <f t="shared" ca="1" si="23"/>
        <v>1186.4635427566568</v>
      </c>
      <c r="BD29" s="212">
        <f t="shared" ca="1" si="23"/>
        <v>1229.3798446603782</v>
      </c>
      <c r="BE29" s="212">
        <f t="shared" ca="1" si="23"/>
        <v>1273.0792249089407</v>
      </c>
      <c r="BF29" s="217">
        <f t="shared" ca="1" si="23"/>
        <v>1317.5680855198918</v>
      </c>
      <c r="BG29" s="212">
        <f t="shared" ca="1" si="23"/>
        <v>1361.8085441734015</v>
      </c>
      <c r="BH29" s="212">
        <f t="shared" ca="1" si="23"/>
        <v>1406.85144020711</v>
      </c>
      <c r="BI29" s="212">
        <f t="shared" ca="1" si="23"/>
        <v>1452.7033294159069</v>
      </c>
      <c r="BJ29" s="212">
        <f t="shared" ca="1" si="23"/>
        <v>1499.3708196534999</v>
      </c>
      <c r="BK29" s="212">
        <f t="shared" ca="1" si="23"/>
        <v>1546.8605712373781</v>
      </c>
      <c r="BL29" s="212">
        <f t="shared" ca="1" si="23"/>
        <v>1595.1792973568763</v>
      </c>
      <c r="BM29" s="212">
        <f t="shared" ca="1" si="23"/>
        <v>1653.3337644843648</v>
      </c>
      <c r="BN29" s="212">
        <f t="shared" ca="1" si="23"/>
        <v>1703.3307927895871</v>
      </c>
      <c r="BO29" s="212">
        <f t="shared" ca="1" si="23"/>
        <v>1754.1772565571707</v>
      </c>
      <c r="BP29" s="212">
        <f t="shared" ca="1" si="23"/>
        <v>1802.8800846073343</v>
      </c>
      <c r="BQ29" s="212">
        <f t="shared" ca="1" si="23"/>
        <v>1855.4462607198147</v>
      </c>
      <c r="BR29" s="217">
        <f t="shared" ca="1" si="23"/>
        <v>1908.8828240610401</v>
      </c>
    </row>
  </sheetData>
  <sheetProtection algorithmName="SHA-512" hashValue="k39Wu25dSmAbW0YcI9Sl1AZv5at3pcNhPmiJwfegpAA0viT61k2dA7MjXjJWU7bU3DYuaZop8H5fPm8nb3J5yQ==" saltValue="nLQt+JPeo/YnnAzJvxAsdg==" spinCount="100000" sheet="1" objects="1" scenarios="1" selectLockedCells="1" selectUnlockedCells="1"/>
  <mergeCells count="1">
    <mergeCell ref="C3:C4"/>
  </mergeCells>
  <pageMargins left="0.7" right="0.7" top="0.75" bottom="0.75" header="0.3" footer="0.3"/>
  <pageSetup orientation="portrait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D5664-C331-48A0-B1AD-2160A6D3482F}">
  <sheetPr codeName="Sheet6">
    <tabColor theme="9" tint="0.79998168889431442"/>
    <outlinePr showOutlineSymbols="0"/>
  </sheetPr>
  <dimension ref="A1:BR32"/>
  <sheetViews>
    <sheetView showGridLines="0" showRowColHeaders="0" showZeros="0" showOutlineSymbols="0" workbookViewId="0">
      <pane xSplit="3" ySplit="4" topLeftCell="D5" activePane="bottomRight" state="frozen"/>
      <selection activeCell="I17" sqref="I17"/>
      <selection pane="topRight" activeCell="I17" sqref="I17"/>
      <selection pane="bottomLeft" activeCell="I17" sqref="I17"/>
      <selection pane="bottomRight"/>
    </sheetView>
  </sheetViews>
  <sheetFormatPr defaultColWidth="9.109375" defaultRowHeight="12.6" x14ac:dyDescent="0.25"/>
  <cols>
    <col min="1" max="1" width="3" style="5" customWidth="1"/>
    <col min="2" max="2" width="1.6640625" style="5" customWidth="1"/>
    <col min="3" max="3" width="22" style="34" customWidth="1"/>
    <col min="4" max="4" width="1.109375" style="34" customWidth="1"/>
    <col min="5" max="9" width="8.33203125" style="34" customWidth="1"/>
    <col min="10" max="10" width="2.21875" style="34" customWidth="1"/>
    <col min="11" max="70" width="8.33203125" style="34" customWidth="1"/>
    <col min="71" max="16384" width="9.109375" style="34"/>
  </cols>
  <sheetData>
    <row r="1" spans="1:70" s="2" customFormat="1" ht="10.199999999999999" x14ac:dyDescent="0.2">
      <c r="A1" s="1" t="s">
        <v>0</v>
      </c>
      <c r="N1" s="3"/>
      <c r="R1" s="4"/>
      <c r="T1" s="4"/>
      <c r="Z1" s="3"/>
      <c r="AD1" s="4"/>
      <c r="AF1" s="4"/>
      <c r="AL1" s="3"/>
      <c r="AP1" s="4"/>
      <c r="AR1" s="4"/>
      <c r="AX1" s="3"/>
      <c r="BB1" s="4"/>
      <c r="BD1" s="4"/>
      <c r="BJ1" s="3"/>
      <c r="BN1" s="4"/>
      <c r="BP1" s="4"/>
    </row>
    <row r="2" spans="1:70" s="5" customFormat="1" ht="10.199999999999999" x14ac:dyDescent="0.2">
      <c r="D2" s="37"/>
      <c r="E2" s="37"/>
      <c r="F2" s="37"/>
      <c r="G2" s="37"/>
      <c r="H2" s="37"/>
      <c r="I2" s="37"/>
    </row>
    <row r="3" spans="1:70" s="5" customFormat="1" ht="21" customHeight="1" x14ac:dyDescent="0.2">
      <c r="C3" s="579" t="s">
        <v>67</v>
      </c>
      <c r="D3" s="37"/>
      <c r="H3" s="37"/>
      <c r="I3" s="37"/>
    </row>
    <row r="4" spans="1:70" s="115" customFormat="1" ht="13.8" x14ac:dyDescent="0.3">
      <c r="A4" s="40"/>
      <c r="C4" s="579"/>
      <c r="D4" s="42"/>
      <c r="E4" s="172">
        <v>1</v>
      </c>
      <c r="F4" s="172">
        <v>2</v>
      </c>
      <c r="G4" s="172">
        <v>3</v>
      </c>
      <c r="H4" s="172">
        <v>4</v>
      </c>
      <c r="I4" s="172">
        <v>5</v>
      </c>
      <c r="J4" s="239"/>
      <c r="K4" s="10">
        <v>1</v>
      </c>
      <c r="L4" s="10">
        <v>2</v>
      </c>
      <c r="M4" s="10">
        <v>3</v>
      </c>
      <c r="N4" s="10">
        <v>4</v>
      </c>
      <c r="O4" s="10">
        <v>5</v>
      </c>
      <c r="P4" s="10">
        <v>6</v>
      </c>
      <c r="Q4" s="10">
        <v>7</v>
      </c>
      <c r="R4" s="10">
        <v>8</v>
      </c>
      <c r="S4" s="10">
        <v>9</v>
      </c>
      <c r="T4" s="10">
        <v>10</v>
      </c>
      <c r="U4" s="10">
        <v>11</v>
      </c>
      <c r="V4" s="173">
        <v>12</v>
      </c>
      <c r="W4" s="10">
        <v>13</v>
      </c>
      <c r="X4" s="10">
        <v>14</v>
      </c>
      <c r="Y4" s="10">
        <v>15</v>
      </c>
      <c r="Z4" s="10">
        <v>16</v>
      </c>
      <c r="AA4" s="10">
        <v>17</v>
      </c>
      <c r="AB4" s="10">
        <v>18</v>
      </c>
      <c r="AC4" s="10">
        <v>19</v>
      </c>
      <c r="AD4" s="10">
        <v>20</v>
      </c>
      <c r="AE4" s="10">
        <v>21</v>
      </c>
      <c r="AF4" s="10">
        <v>22</v>
      </c>
      <c r="AG4" s="10">
        <v>23</v>
      </c>
      <c r="AH4" s="173">
        <v>24</v>
      </c>
      <c r="AI4" s="10">
        <v>25</v>
      </c>
      <c r="AJ4" s="10">
        <v>26</v>
      </c>
      <c r="AK4" s="10">
        <v>27</v>
      </c>
      <c r="AL4" s="10">
        <v>28</v>
      </c>
      <c r="AM4" s="10">
        <v>29</v>
      </c>
      <c r="AN4" s="10">
        <v>30</v>
      </c>
      <c r="AO4" s="10">
        <v>31</v>
      </c>
      <c r="AP4" s="10">
        <v>32</v>
      </c>
      <c r="AQ4" s="10">
        <v>33</v>
      </c>
      <c r="AR4" s="10">
        <v>34</v>
      </c>
      <c r="AS4" s="10">
        <v>35</v>
      </c>
      <c r="AT4" s="173">
        <v>36</v>
      </c>
      <c r="AU4" s="10">
        <v>37</v>
      </c>
      <c r="AV4" s="10">
        <v>38</v>
      </c>
      <c r="AW4" s="10">
        <v>39</v>
      </c>
      <c r="AX4" s="10">
        <v>40</v>
      </c>
      <c r="AY4" s="10">
        <v>41</v>
      </c>
      <c r="AZ4" s="10">
        <v>42</v>
      </c>
      <c r="BA4" s="10">
        <v>43</v>
      </c>
      <c r="BB4" s="10">
        <v>44</v>
      </c>
      <c r="BC4" s="10">
        <v>45</v>
      </c>
      <c r="BD4" s="10">
        <v>46</v>
      </c>
      <c r="BE4" s="10">
        <v>47</v>
      </c>
      <c r="BF4" s="173">
        <v>48</v>
      </c>
      <c r="BG4" s="10">
        <v>49</v>
      </c>
      <c r="BH4" s="10">
        <v>50</v>
      </c>
      <c r="BI4" s="10">
        <v>51</v>
      </c>
      <c r="BJ4" s="10">
        <v>52</v>
      </c>
      <c r="BK4" s="10">
        <v>53</v>
      </c>
      <c r="BL4" s="10">
        <v>54</v>
      </c>
      <c r="BM4" s="10">
        <v>55</v>
      </c>
      <c r="BN4" s="10">
        <v>56</v>
      </c>
      <c r="BO4" s="10">
        <v>57</v>
      </c>
      <c r="BP4" s="10">
        <v>58</v>
      </c>
      <c r="BQ4" s="10">
        <v>59</v>
      </c>
      <c r="BR4" s="173">
        <v>60</v>
      </c>
    </row>
    <row r="5" spans="1:70" s="14" customFormat="1" ht="6" customHeight="1" x14ac:dyDescent="0.25">
      <c r="A5" s="13"/>
      <c r="B5" s="201"/>
      <c r="E5" s="174"/>
      <c r="F5" s="174"/>
      <c r="G5" s="174"/>
      <c r="H5" s="174"/>
      <c r="I5" s="174"/>
      <c r="J5" s="210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74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74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74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74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74"/>
    </row>
    <row r="6" spans="1:70" s="14" customFormat="1" ht="13.2" x14ac:dyDescent="0.3">
      <c r="A6" s="13"/>
      <c r="B6" s="13"/>
      <c r="C6" s="185" t="s">
        <v>195</v>
      </c>
      <c r="E6" s="211">
        <f ca="1">V6</f>
        <v>300</v>
      </c>
      <c r="F6" s="211">
        <f ca="1">AH6</f>
        <v>529.47427960724121</v>
      </c>
      <c r="G6" s="211">
        <f ca="1">AT6</f>
        <v>899.7129936374198</v>
      </c>
      <c r="H6" s="211">
        <f ca="1">BF6</f>
        <v>1359.5763302016192</v>
      </c>
      <c r="I6" s="211">
        <f ca="1">BR6</f>
        <v>1975.2423953223586</v>
      </c>
      <c r="J6" s="210"/>
      <c r="K6" s="212">
        <f ca="1">Credit!K44</f>
        <v>300</v>
      </c>
      <c r="L6" s="213">
        <f ca="1">Credit!L44</f>
        <v>300</v>
      </c>
      <c r="M6" s="213">
        <f ca="1">Credit!M44</f>
        <v>300</v>
      </c>
      <c r="N6" s="213">
        <f ca="1">Credit!N44</f>
        <v>300</v>
      </c>
      <c r="O6" s="213">
        <f ca="1">Credit!O44</f>
        <v>300</v>
      </c>
      <c r="P6" s="213">
        <f ca="1">Credit!P44</f>
        <v>300</v>
      </c>
      <c r="Q6" s="213">
        <f ca="1">Credit!Q44</f>
        <v>300</v>
      </c>
      <c r="R6" s="213">
        <f ca="1">Credit!R44</f>
        <v>300</v>
      </c>
      <c r="S6" s="213">
        <f ca="1">Credit!S44</f>
        <v>300</v>
      </c>
      <c r="T6" s="213">
        <f ca="1">Credit!T44</f>
        <v>300</v>
      </c>
      <c r="U6" s="213">
        <f ca="1">Credit!U44</f>
        <v>300</v>
      </c>
      <c r="V6" s="211">
        <f ca="1">Credit!V44</f>
        <v>300</v>
      </c>
      <c r="W6" s="212">
        <f ca="1">Credit!W44</f>
        <v>300</v>
      </c>
      <c r="X6" s="213">
        <f ca="1">Credit!X44</f>
        <v>300</v>
      </c>
      <c r="Y6" s="213">
        <f ca="1">Credit!Y44</f>
        <v>303.91846666011122</v>
      </c>
      <c r="Z6" s="213">
        <f ca="1">Credit!Z44</f>
        <v>326.53328673821841</v>
      </c>
      <c r="AA6" s="213">
        <f ca="1">Credit!AA44</f>
        <v>349.74816392618061</v>
      </c>
      <c r="AB6" s="213">
        <f ca="1">Credit!AB44</f>
        <v>373.56804298258203</v>
      </c>
      <c r="AC6" s="213">
        <f ca="1">Credit!AC44</f>
        <v>397.99790816978151</v>
      </c>
      <c r="AD6" s="213">
        <f ca="1">Credit!AD44</f>
        <v>423.0427835625851</v>
      </c>
      <c r="AE6" s="213">
        <f ca="1">Credit!AE44</f>
        <v>448.70773335929204</v>
      </c>
      <c r="AF6" s="213">
        <f ca="1">Credit!AF44</f>
        <v>474.99786219513004</v>
      </c>
      <c r="AG6" s="213">
        <f ca="1">Credit!AG44</f>
        <v>501.91831545809902</v>
      </c>
      <c r="AH6" s="211">
        <f ca="1">Credit!AH44</f>
        <v>529.47427960724121</v>
      </c>
      <c r="AI6" s="212">
        <f ca="1">Credit!AI44</f>
        <v>556.67531092894365</v>
      </c>
      <c r="AJ6" s="213">
        <f ca="1">Credit!AJ44</f>
        <v>584.52235055335666</v>
      </c>
      <c r="AK6" s="213">
        <f ca="1">Credit!AK44</f>
        <v>613.02071008681446</v>
      </c>
      <c r="AL6" s="213">
        <f ca="1">Credit!AL44</f>
        <v>642.17574350441066</v>
      </c>
      <c r="AM6" s="213">
        <f ca="1">Credit!AM44</f>
        <v>671.99284748068033</v>
      </c>
      <c r="AN6" s="213">
        <f ca="1">Credit!AN44</f>
        <v>702.47746172282029</v>
      </c>
      <c r="AO6" s="213">
        <f ca="1">Credit!AO44</f>
        <v>733.63506930646884</v>
      </c>
      <c r="AP6" s="213">
        <f ca="1">Credit!AP44</f>
        <v>765.47119701406234</v>
      </c>
      <c r="AQ6" s="213">
        <f ca="1">Credit!AQ44</f>
        <v>797.99141567578999</v>
      </c>
      <c r="AR6" s="213">
        <f ca="1">Credit!AR44</f>
        <v>831.20134051316381</v>
      </c>
      <c r="AS6" s="213">
        <f ca="1">Credit!AS44</f>
        <v>865.10663148522724</v>
      </c>
      <c r="AT6" s="211">
        <f ca="1">Credit!AT44</f>
        <v>899.7129936374198</v>
      </c>
      <c r="AU6" s="212">
        <f ca="1">Credit!AU44</f>
        <v>934.00648594061784</v>
      </c>
      <c r="AV6" s="213">
        <f ca="1">Credit!AV44</f>
        <v>969.01259618287384</v>
      </c>
      <c r="AW6" s="213">
        <f ca="1">Credit!AW44</f>
        <v>1004.7371667888725</v>
      </c>
      <c r="AX6" s="213">
        <f ca="1">Credit!AX44</f>
        <v>1041.1860866921247</v>
      </c>
      <c r="AY6" s="213">
        <f ca="1">Credit!AY44</f>
        <v>1078.3652916974211</v>
      </c>
      <c r="AZ6" s="213">
        <f ca="1">Credit!AZ44</f>
        <v>1116.2807648460648</v>
      </c>
      <c r="BA6" s="213">
        <f ca="1">Credit!BA44</f>
        <v>1154.9385367839068</v>
      </c>
      <c r="BB6" s="213">
        <f ca="1">Credit!BB44</f>
        <v>1194.3446861321995</v>
      </c>
      <c r="BC6" s="213">
        <f ca="1">Credit!BC44</f>
        <v>1234.505339861299</v>
      </c>
      <c r="BD6" s="213">
        <f ca="1">Credit!BD44</f>
        <v>1275.4266736672284</v>
      </c>
      <c r="BE6" s="213">
        <f ca="1">Credit!BE44</f>
        <v>1317.1149123511286</v>
      </c>
      <c r="BF6" s="211">
        <f ca="1">Credit!BF44</f>
        <v>1359.5763302016192</v>
      </c>
      <c r="BG6" s="212">
        <f ca="1">Credit!BG44</f>
        <v>1401.7729161804043</v>
      </c>
      <c r="BH6" s="213">
        <f ca="1">Credit!BH44</f>
        <v>1444.7553799095672</v>
      </c>
      <c r="BI6" s="213">
        <f ca="1">Credit!BI44</f>
        <v>1488.5301464637369</v>
      </c>
      <c r="BJ6" s="213">
        <f ca="1">Credit!BJ44</f>
        <v>1533.1036919639882</v>
      </c>
      <c r="BK6" s="213">
        <f ca="1">Credit!BK44</f>
        <v>1578.4825439750789</v>
      </c>
      <c r="BL6" s="213">
        <f ca="1">Credit!BL44</f>
        <v>1624.6732819057268</v>
      </c>
      <c r="BM6" s="213">
        <f ca="1">Credit!BM44</f>
        <v>1680.6825374119576</v>
      </c>
      <c r="BN6" s="213">
        <f ca="1">Credit!BN44</f>
        <v>1728.5169948035386</v>
      </c>
      <c r="BO6" s="213">
        <f ca="1">Credit!BO44</f>
        <v>1777.1833914535264</v>
      </c>
      <c r="BP6" s="213">
        <f ca="1">Credit!BP44</f>
        <v>1873.6885182109522</v>
      </c>
      <c r="BQ6" s="213">
        <f ca="1">Credit!BQ44</f>
        <v>1924.0392198166646</v>
      </c>
      <c r="BR6" s="211">
        <f ca="1">Credit!BR44</f>
        <v>1975.2423953223586</v>
      </c>
    </row>
    <row r="7" spans="1:70" s="14" customFormat="1" ht="13.2" x14ac:dyDescent="0.3">
      <c r="A7" s="40"/>
      <c r="B7" s="13"/>
      <c r="C7" s="185" t="s">
        <v>181</v>
      </c>
      <c r="E7" s="211">
        <f ca="1">V7</f>
        <v>697.43206284733196</v>
      </c>
      <c r="F7" s="211">
        <f ca="1">AH7</f>
        <v>758.63325758819667</v>
      </c>
      <c r="G7" s="211">
        <f ca="1">AT7</f>
        <v>825.20499153601691</v>
      </c>
      <c r="H7" s="211">
        <f ca="1">BF7</f>
        <v>897.61854129732967</v>
      </c>
      <c r="I7" s="211">
        <f ca="1">BR7</f>
        <v>976.38653903559054</v>
      </c>
      <c r="J7" s="210"/>
      <c r="K7" s="212">
        <f ca="1">Credit!K18</f>
        <v>424.15359046057893</v>
      </c>
      <c r="L7" s="213">
        <f ca="1">Credit!L18</f>
        <v>628.05197532519503</v>
      </c>
      <c r="M7" s="213">
        <f ca="1">Credit!M18</f>
        <v>654.79361033096359</v>
      </c>
      <c r="N7" s="213">
        <f ca="1">Credit!N18</f>
        <v>659.39947469844856</v>
      </c>
      <c r="O7" s="213">
        <f ca="1">Credit!O18</f>
        <v>664.0377370402523</v>
      </c>
      <c r="P7" s="213">
        <f ca="1">Credit!P18</f>
        <v>668.70862524600784</v>
      </c>
      <c r="Q7" s="213">
        <f ca="1">Credit!Q18</f>
        <v>673.41236880833981</v>
      </c>
      <c r="R7" s="213">
        <f ca="1">Credit!R18</f>
        <v>678.14919883414018</v>
      </c>
      <c r="S7" s="213">
        <f ca="1">Credit!S18</f>
        <v>682.91934805592291</v>
      </c>
      <c r="T7" s="213">
        <f ca="1">Credit!T18</f>
        <v>687.72305084325899</v>
      </c>
      <c r="U7" s="213">
        <f ca="1">Credit!U18</f>
        <v>692.56054321429178</v>
      </c>
      <c r="V7" s="211">
        <f ca="1">Credit!V18</f>
        <v>697.43206284733196</v>
      </c>
      <c r="W7" s="212">
        <f ca="1">Credit!W18</f>
        <v>702.33784909253734</v>
      </c>
      <c r="X7" s="213">
        <f ca="1">Credit!X18</f>
        <v>707.2781429836707</v>
      </c>
      <c r="Y7" s="213">
        <f ca="1">Credit!Y18</f>
        <v>712.25318724994384</v>
      </c>
      <c r="Z7" s="213">
        <f ca="1">Credit!Z18</f>
        <v>717.26322632794256</v>
      </c>
      <c r="AA7" s="213">
        <f ca="1">Credit!AA18</f>
        <v>722.3085063736371</v>
      </c>
      <c r="AB7" s="213">
        <f ca="1">Credit!AB18</f>
        <v>727.38927527447584</v>
      </c>
      <c r="AC7" s="213">
        <f ca="1">Credit!AC18</f>
        <v>732.50578266156526</v>
      </c>
      <c r="AD7" s="213">
        <f ca="1">Credit!AD18</f>
        <v>737.65827992193454</v>
      </c>
      <c r="AE7" s="213">
        <f ca="1">Credit!AE18</f>
        <v>742.84702021088663</v>
      </c>
      <c r="AF7" s="213">
        <f ca="1">Credit!AF18</f>
        <v>748.07225846443691</v>
      </c>
      <c r="AG7" s="213">
        <f ca="1">Credit!AG18</f>
        <v>753.33425141183852</v>
      </c>
      <c r="AH7" s="211">
        <f ca="1">Credit!AH18</f>
        <v>758.63325758819667</v>
      </c>
      <c r="AI7" s="212">
        <f ca="1">Credit!AI18</f>
        <v>763.96953734717044</v>
      </c>
      <c r="AJ7" s="213">
        <f ca="1">Credit!AJ18</f>
        <v>769.34335287376462</v>
      </c>
      <c r="AK7" s="213">
        <f ca="1">Credit!AK18</f>
        <v>774.75496819721229</v>
      </c>
      <c r="AL7" s="213">
        <f ca="1">Credit!AL18</f>
        <v>780.20464920394625</v>
      </c>
      <c r="AM7" s="213">
        <f ca="1">Credit!AM18</f>
        <v>785.69266365066369</v>
      </c>
      <c r="AN7" s="213">
        <f ca="1">Credit!AN18</f>
        <v>791.21928117748053</v>
      </c>
      <c r="AO7" s="213">
        <f ca="1">Credit!AO18</f>
        <v>796.78477332118109</v>
      </c>
      <c r="AP7" s="213">
        <f ca="1">Credit!AP18</f>
        <v>802.38941352855841</v>
      </c>
      <c r="AQ7" s="213">
        <f ca="1">Credit!AQ18</f>
        <v>808.03347716984854</v>
      </c>
      <c r="AR7" s="213">
        <f ca="1">Credit!AR18</f>
        <v>813.71724155226264</v>
      </c>
      <c r="AS7" s="213">
        <f ca="1">Credit!AS18</f>
        <v>819.44098593360945</v>
      </c>
      <c r="AT7" s="211">
        <f ca="1">Credit!AT18</f>
        <v>825.20499153601691</v>
      </c>
      <c r="AU7" s="212">
        <f ca="1">Credit!AU18</f>
        <v>831.00954155974921</v>
      </c>
      <c r="AV7" s="213">
        <f ca="1">Credit!AV18</f>
        <v>836.85492119712137</v>
      </c>
      <c r="AW7" s="213">
        <f ca="1">Credit!AW18</f>
        <v>842.74141764651085</v>
      </c>
      <c r="AX7" s="213">
        <f ca="1">Credit!AX18</f>
        <v>848.66932012646919</v>
      </c>
      <c r="AY7" s="213">
        <f ca="1">Credit!AY18</f>
        <v>854.63891988993123</v>
      </c>
      <c r="AZ7" s="213">
        <f ca="1">Credit!AZ18</f>
        <v>860.65051023852573</v>
      </c>
      <c r="BA7" s="213">
        <f ca="1">Credit!BA18</f>
        <v>866.70438653698523</v>
      </c>
      <c r="BB7" s="213">
        <f ca="1">Credit!BB18</f>
        <v>872.80084622765889</v>
      </c>
      <c r="BC7" s="213">
        <f ca="1">Credit!BC18</f>
        <v>878.94018884512695</v>
      </c>
      <c r="BD7" s="213">
        <f ca="1">Credit!BD18</f>
        <v>885.12271603091631</v>
      </c>
      <c r="BE7" s="213">
        <f ca="1">Credit!BE18</f>
        <v>891.34873154832155</v>
      </c>
      <c r="BF7" s="211">
        <f ca="1">Credit!BF18</f>
        <v>897.61854129732967</v>
      </c>
      <c r="BG7" s="212">
        <f ca="1">Credit!BG18</f>
        <v>903.93245332965012</v>
      </c>
      <c r="BH7" s="213">
        <f ca="1">Credit!BH18</f>
        <v>910.29077786384926</v>
      </c>
      <c r="BI7" s="213">
        <f ca="1">Credit!BI18</f>
        <v>916.69382730059317</v>
      </c>
      <c r="BJ7" s="213">
        <f ca="1">Credit!BJ18</f>
        <v>923.14191623799593</v>
      </c>
      <c r="BK7" s="213">
        <f ca="1">Credit!BK18</f>
        <v>929.63536148707715</v>
      </c>
      <c r="BL7" s="213">
        <f ca="1">Credit!BL18</f>
        <v>936.17448208732731</v>
      </c>
      <c r="BM7" s="213">
        <f ca="1">Credit!BM18</f>
        <v>942.75959932238288</v>
      </c>
      <c r="BN7" s="213">
        <f ca="1">Credit!BN18</f>
        <v>949.39103673581235</v>
      </c>
      <c r="BO7" s="213">
        <f ca="1">Credit!BO18</f>
        <v>956.0691201470122</v>
      </c>
      <c r="BP7" s="213">
        <f ca="1">Credit!BP18</f>
        <v>962.79417766721599</v>
      </c>
      <c r="BQ7" s="213">
        <f ca="1">Credit!BQ18</f>
        <v>969.56653971561491</v>
      </c>
      <c r="BR7" s="211">
        <f ca="1">Credit!BR18</f>
        <v>976.38653903559054</v>
      </c>
    </row>
    <row r="8" spans="1:70" s="14" customFormat="1" ht="13.2" x14ac:dyDescent="0.3">
      <c r="A8" s="13"/>
      <c r="B8" s="13"/>
      <c r="C8" s="178" t="s">
        <v>182</v>
      </c>
      <c r="E8" s="215">
        <f ca="1">V8</f>
        <v>77.702299705267905</v>
      </c>
      <c r="F8" s="215">
        <f ca="1">AH8</f>
        <v>84.007409344363865</v>
      </c>
      <c r="G8" s="215">
        <f ca="1">AT8</f>
        <v>90.824143577735825</v>
      </c>
      <c r="H8" s="215">
        <f ca="1">BF8</f>
        <v>98.194017896858455</v>
      </c>
      <c r="I8" s="215">
        <f ca="1">BR8</f>
        <v>106.16191654453611</v>
      </c>
      <c r="J8" s="210"/>
      <c r="K8" s="216">
        <f ca="1">Credit!K28</f>
        <v>47.511380120532053</v>
      </c>
      <c r="L8" s="216">
        <f ca="1">Credit!L28</f>
        <v>70.326680819741682</v>
      </c>
      <c r="M8" s="216">
        <f ca="1">Credit!M28</f>
        <v>73.286010918315696</v>
      </c>
      <c r="N8" s="216">
        <f ca="1">Credit!N28</f>
        <v>73.764045361276004</v>
      </c>
      <c r="O8" s="216">
        <f ca="1">Credit!O28</f>
        <v>74.24519795633374</v>
      </c>
      <c r="P8" s="216">
        <f ca="1">Credit!P28</f>
        <v>74.729489042760761</v>
      </c>
      <c r="Q8" s="216">
        <f ca="1">Credit!Q28</f>
        <v>75.216939092499203</v>
      </c>
      <c r="R8" s="216">
        <f ca="1">Credit!R28</f>
        <v>75.707568711026795</v>
      </c>
      <c r="S8" s="216">
        <f ca="1">Credit!S28</f>
        <v>76.201398638227957</v>
      </c>
      <c r="T8" s="216">
        <f ca="1">Credit!T28</f>
        <v>76.698449749270466</v>
      </c>
      <c r="U8" s="216">
        <f ca="1">Credit!U28</f>
        <v>77.198743055487924</v>
      </c>
      <c r="V8" s="215">
        <f ca="1">Credit!V28</f>
        <v>77.702299705267905</v>
      </c>
      <c r="W8" s="216">
        <f ca="1">Credit!W28</f>
        <v>78.209140984946032</v>
      </c>
      <c r="X8" s="216">
        <f ca="1">Credit!X28</f>
        <v>78.719288319705655</v>
      </c>
      <c r="Y8" s="216">
        <f ca="1">Credit!Y28</f>
        <v>79.232763274483645</v>
      </c>
      <c r="Z8" s="216">
        <f ca="1">Credit!Z28</f>
        <v>79.749587554881984</v>
      </c>
      <c r="AA8" s="216">
        <f ca="1">Credit!AA28</f>
        <v>80.269783008085227</v>
      </c>
      <c r="AB8" s="216">
        <f ca="1">Credit!AB28</f>
        <v>80.793371623784111</v>
      </c>
      <c r="AC8" s="216">
        <f ca="1">Credit!AC28</f>
        <v>81.320375535105043</v>
      </c>
      <c r="AD8" s="216">
        <f ca="1">Credit!AD28</f>
        <v>81.850817019545715</v>
      </c>
      <c r="AE8" s="216">
        <f ca="1">Credit!AE28</f>
        <v>82.384718499916872</v>
      </c>
      <c r="AF8" s="216">
        <f ca="1">Credit!AF28</f>
        <v>82.922102545290073</v>
      </c>
      <c r="AG8" s="216">
        <f ca="1">Credit!AG28</f>
        <v>83.462991871951857</v>
      </c>
      <c r="AH8" s="215">
        <f ca="1">Credit!AH28</f>
        <v>84.007409344363865</v>
      </c>
      <c r="AI8" s="216">
        <f ca="1">Credit!AI28</f>
        <v>84.555377976129492</v>
      </c>
      <c r="AJ8" s="216">
        <f ca="1">Credit!AJ28</f>
        <v>85.106920930966652</v>
      </c>
      <c r="AK8" s="216">
        <f ca="1">Credit!AK28</f>
        <v>85.662061523686958</v>
      </c>
      <c r="AL8" s="216">
        <f ca="1">Credit!AL28</f>
        <v>86.22082322118132</v>
      </c>
      <c r="AM8" s="216">
        <f ca="1">Credit!AM28</f>
        <v>86.783229643411843</v>
      </c>
      <c r="AN8" s="216">
        <f ca="1">Credit!AN28</f>
        <v>87.349304564410403</v>
      </c>
      <c r="AO8" s="216">
        <f ca="1">Credit!AO28</f>
        <v>87.91907191328356</v>
      </c>
      <c r="AP8" s="216">
        <f ca="1">Credit!AP28</f>
        <v>88.492555775224133</v>
      </c>
      <c r="AQ8" s="216">
        <f ca="1">Credit!AQ28</f>
        <v>89.069780392529239</v>
      </c>
      <c r="AR8" s="216">
        <f ca="1">Credit!AR28</f>
        <v>89.650770165625204</v>
      </c>
      <c r="AS8" s="216">
        <f ca="1">Credit!AS28</f>
        <v>90.235549654098847</v>
      </c>
      <c r="AT8" s="215">
        <f ca="1">Credit!AT28</f>
        <v>90.824143577735825</v>
      </c>
      <c r="AU8" s="216">
        <f ca="1">Credit!AU28</f>
        <v>91.416576817565499</v>
      </c>
      <c r="AV8" s="216">
        <f ca="1">Credit!AV28</f>
        <v>92.012874416912695</v>
      </c>
      <c r="AW8" s="216">
        <f ca="1">Credit!AW28</f>
        <v>92.613061582456353</v>
      </c>
      <c r="AX8" s="216">
        <f ca="1">Credit!AX28</f>
        <v>93.217163685295105</v>
      </c>
      <c r="AY8" s="216">
        <f ca="1">Credit!AY28</f>
        <v>93.825206262019691</v>
      </c>
      <c r="AZ8" s="216">
        <f ca="1">Credit!AZ28</f>
        <v>94.437215015792518</v>
      </c>
      <c r="BA8" s="216">
        <f ca="1">Credit!BA28</f>
        <v>95.053215817434136</v>
      </c>
      <c r="BB8" s="216">
        <f ca="1">Credit!BB28</f>
        <v>95.673234706516752</v>
      </c>
      <c r="BC8" s="216">
        <f ca="1">Credit!BC28</f>
        <v>96.297297892465295</v>
      </c>
      <c r="BD8" s="216">
        <f ca="1">Credit!BD28</f>
        <v>96.925431755664874</v>
      </c>
      <c r="BE8" s="216">
        <f ca="1">Credit!BE28</f>
        <v>97.557662848576342</v>
      </c>
      <c r="BF8" s="215">
        <f ca="1">Credit!BF28</f>
        <v>98.194017896858455</v>
      </c>
      <c r="BG8" s="216">
        <f ca="1">Credit!BG28</f>
        <v>98.834523800497834</v>
      </c>
      <c r="BH8" s="216">
        <f ca="1">Credit!BH28</f>
        <v>99.479207634945837</v>
      </c>
      <c r="BI8" s="216">
        <f ca="1">Credit!BI28</f>
        <v>100.12809665226332</v>
      </c>
      <c r="BJ8" s="216">
        <f ca="1">Credit!BJ28</f>
        <v>100.78121828227249</v>
      </c>
      <c r="BK8" s="216">
        <f ca="1">Credit!BK28</f>
        <v>101.43860013371651</v>
      </c>
      <c r="BL8" s="216">
        <f ca="1">Credit!BL28</f>
        <v>102.10026999542642</v>
      </c>
      <c r="BM8" s="216">
        <f ca="1">Credit!BM28</f>
        <v>102.76625583749608</v>
      </c>
      <c r="BN8" s="216">
        <f ca="1">Credit!BN28</f>
        <v>103.43658581246429</v>
      </c>
      <c r="BO8" s="216">
        <f ca="1">Credit!BO28</f>
        <v>104.11128825650493</v>
      </c>
      <c r="BP8" s="216">
        <f ca="1">Credit!BP28</f>
        <v>104.79039169062486</v>
      </c>
      <c r="BQ8" s="216">
        <f ca="1">Credit!BQ28</f>
        <v>105.47392482186946</v>
      </c>
      <c r="BR8" s="215">
        <f ca="1">Credit!BR28</f>
        <v>106.16191654453611</v>
      </c>
    </row>
    <row r="9" spans="1:70" ht="13.2" x14ac:dyDescent="0.3">
      <c r="A9" s="13"/>
      <c r="C9" s="181" t="s">
        <v>196</v>
      </c>
      <c r="D9" s="14"/>
      <c r="E9" s="217">
        <f ca="1">V9</f>
        <v>1075.1343625525999</v>
      </c>
      <c r="F9" s="217">
        <f ca="1">AH9</f>
        <v>1372.1149465398018</v>
      </c>
      <c r="G9" s="217">
        <f ca="1">AT9</f>
        <v>1815.7421287511725</v>
      </c>
      <c r="H9" s="217">
        <f ca="1">BF9</f>
        <v>2355.3888893958074</v>
      </c>
      <c r="I9" s="217">
        <f ca="1">BR9</f>
        <v>3057.7908509024855</v>
      </c>
      <c r="J9" s="16"/>
      <c r="K9" s="223">
        <f t="shared" ref="K9:BR9" ca="1" si="0">SUM(K6:K8)</f>
        <v>771.66497058111099</v>
      </c>
      <c r="L9" s="223">
        <f t="shared" ca="1" si="0"/>
        <v>998.37865614493671</v>
      </c>
      <c r="M9" s="223">
        <f t="shared" ca="1" si="0"/>
        <v>1028.0796212492792</v>
      </c>
      <c r="N9" s="223">
        <f t="shared" ca="1" si="0"/>
        <v>1033.1635200597245</v>
      </c>
      <c r="O9" s="223">
        <f t="shared" ca="1" si="0"/>
        <v>1038.2829349965859</v>
      </c>
      <c r="P9" s="223">
        <f t="shared" ca="1" si="0"/>
        <v>1043.4381142887687</v>
      </c>
      <c r="Q9" s="223">
        <f t="shared" ca="1" si="0"/>
        <v>1048.629307900839</v>
      </c>
      <c r="R9" s="223">
        <f t="shared" ca="1" si="0"/>
        <v>1053.856767545167</v>
      </c>
      <c r="S9" s="223">
        <f t="shared" ca="1" si="0"/>
        <v>1059.120746694151</v>
      </c>
      <c r="T9" s="223">
        <f t="shared" ca="1" si="0"/>
        <v>1064.4215005925294</v>
      </c>
      <c r="U9" s="223">
        <f t="shared" ca="1" si="0"/>
        <v>1069.7592862697798</v>
      </c>
      <c r="V9" s="217">
        <f t="shared" ca="1" si="0"/>
        <v>1075.1343625525999</v>
      </c>
      <c r="W9" s="223">
        <f t="shared" ca="1" si="0"/>
        <v>1080.5469900774833</v>
      </c>
      <c r="X9" s="223">
        <f t="shared" ca="1" si="0"/>
        <v>1085.9974313033763</v>
      </c>
      <c r="Y9" s="223">
        <f t="shared" ca="1" si="0"/>
        <v>1095.4044171845387</v>
      </c>
      <c r="Z9" s="223">
        <f t="shared" ca="1" si="0"/>
        <v>1123.546100621043</v>
      </c>
      <c r="AA9" s="223">
        <f t="shared" ca="1" si="0"/>
        <v>1152.3264533079027</v>
      </c>
      <c r="AB9" s="223">
        <f t="shared" ca="1" si="0"/>
        <v>1181.7506898808422</v>
      </c>
      <c r="AC9" s="223">
        <f t="shared" ca="1" si="0"/>
        <v>1211.8240663664519</v>
      </c>
      <c r="AD9" s="223">
        <f t="shared" ca="1" si="0"/>
        <v>1242.5518805040654</v>
      </c>
      <c r="AE9" s="223">
        <f t="shared" ca="1" si="0"/>
        <v>1273.9394720700957</v>
      </c>
      <c r="AF9" s="223">
        <f t="shared" ca="1" si="0"/>
        <v>1305.9922232048571</v>
      </c>
      <c r="AG9" s="223">
        <f t="shared" ca="1" si="0"/>
        <v>1338.7155587418893</v>
      </c>
      <c r="AH9" s="217">
        <f t="shared" ca="1" si="0"/>
        <v>1372.1149465398018</v>
      </c>
      <c r="AI9" s="223">
        <f t="shared" ca="1" si="0"/>
        <v>1405.2002262522435</v>
      </c>
      <c r="AJ9" s="223">
        <f t="shared" ca="1" si="0"/>
        <v>1438.9726243580881</v>
      </c>
      <c r="AK9" s="223">
        <f t="shared" ca="1" si="0"/>
        <v>1473.4377398077138</v>
      </c>
      <c r="AL9" s="223">
        <f t="shared" ca="1" si="0"/>
        <v>1508.6012159295381</v>
      </c>
      <c r="AM9" s="223">
        <f t="shared" ca="1" si="0"/>
        <v>1544.4687407747558</v>
      </c>
      <c r="AN9" s="223">
        <f t="shared" ca="1" si="0"/>
        <v>1581.0460474647111</v>
      </c>
      <c r="AO9" s="223">
        <f t="shared" ca="1" si="0"/>
        <v>1618.3389145409333</v>
      </c>
      <c r="AP9" s="223">
        <f t="shared" ca="1" si="0"/>
        <v>1656.3531663178449</v>
      </c>
      <c r="AQ9" s="223">
        <f t="shared" ca="1" si="0"/>
        <v>1695.0946732381678</v>
      </c>
      <c r="AR9" s="223">
        <f t="shared" ca="1" si="0"/>
        <v>1734.5693522310517</v>
      </c>
      <c r="AS9" s="223">
        <f t="shared" ca="1" si="0"/>
        <v>1774.7831670729354</v>
      </c>
      <c r="AT9" s="217">
        <f t="shared" ca="1" si="0"/>
        <v>1815.7421287511725</v>
      </c>
      <c r="AU9" s="223">
        <f t="shared" ca="1" si="0"/>
        <v>1856.4326043179326</v>
      </c>
      <c r="AV9" s="223">
        <f t="shared" ca="1" si="0"/>
        <v>1897.8803917969078</v>
      </c>
      <c r="AW9" s="223">
        <f t="shared" ca="1" si="0"/>
        <v>1940.0916460178396</v>
      </c>
      <c r="AX9" s="223">
        <f t="shared" ca="1" si="0"/>
        <v>1983.0725705038892</v>
      </c>
      <c r="AY9" s="223">
        <f t="shared" ca="1" si="0"/>
        <v>2026.829417849372</v>
      </c>
      <c r="AZ9" s="223">
        <f t="shared" ca="1" si="0"/>
        <v>2071.368490100383</v>
      </c>
      <c r="BA9" s="223">
        <f t="shared" ca="1" si="0"/>
        <v>2116.6961391383261</v>
      </c>
      <c r="BB9" s="223">
        <f t="shared" ca="1" si="0"/>
        <v>2162.8187670663751</v>
      </c>
      <c r="BC9" s="223">
        <f t="shared" ca="1" si="0"/>
        <v>2209.7428265988915</v>
      </c>
      <c r="BD9" s="223">
        <f t="shared" ca="1" si="0"/>
        <v>2257.4748214538095</v>
      </c>
      <c r="BE9" s="223">
        <f t="shared" ca="1" si="0"/>
        <v>2306.0213067480267</v>
      </c>
      <c r="BF9" s="217">
        <f t="shared" ca="1" si="0"/>
        <v>2355.3888893958074</v>
      </c>
      <c r="BG9" s="223">
        <f t="shared" ca="1" si="0"/>
        <v>2404.5398933105521</v>
      </c>
      <c r="BH9" s="223">
        <f t="shared" ca="1" si="0"/>
        <v>2454.5253654083622</v>
      </c>
      <c r="BI9" s="223">
        <f t="shared" ca="1" si="0"/>
        <v>2505.3520704165931</v>
      </c>
      <c r="BJ9" s="223">
        <f t="shared" ca="1" si="0"/>
        <v>2557.0268264842571</v>
      </c>
      <c r="BK9" s="223">
        <f t="shared" ca="1" si="0"/>
        <v>2609.5565055958727</v>
      </c>
      <c r="BL9" s="223">
        <f t="shared" ca="1" si="0"/>
        <v>2662.9480339884808</v>
      </c>
      <c r="BM9" s="223">
        <f t="shared" ca="1" si="0"/>
        <v>2726.2083925718362</v>
      </c>
      <c r="BN9" s="223">
        <f t="shared" ca="1" si="0"/>
        <v>2781.3446173518155</v>
      </c>
      <c r="BO9" s="223">
        <f t="shared" ca="1" si="0"/>
        <v>2837.3637998570434</v>
      </c>
      <c r="BP9" s="223">
        <f t="shared" ca="1" si="0"/>
        <v>2941.273087568793</v>
      </c>
      <c r="BQ9" s="223">
        <f t="shared" ca="1" si="0"/>
        <v>2999.0796843541489</v>
      </c>
      <c r="BR9" s="217">
        <f t="shared" ca="1" si="0"/>
        <v>3057.7908509024855</v>
      </c>
    </row>
    <row r="10" spans="1:70" s="14" customFormat="1" ht="13.2" x14ac:dyDescent="0.3">
      <c r="A10" s="13"/>
      <c r="B10" s="13"/>
      <c r="C10" s="185" t="s">
        <v>197</v>
      </c>
      <c r="E10" s="211">
        <f t="shared" ref="E10:E19" si="1">V10</f>
        <v>0</v>
      </c>
      <c r="F10" s="211">
        <f t="shared" ref="F10:F19" si="2">AH10</f>
        <v>0</v>
      </c>
      <c r="G10" s="211">
        <f t="shared" ref="G10:G19" si="3">AT10</f>
        <v>0</v>
      </c>
      <c r="H10" s="211">
        <f t="shared" ref="H10:H19" si="4">BF10</f>
        <v>0</v>
      </c>
      <c r="I10" s="211">
        <f t="shared" ref="I10:I19" si="5">BR10</f>
        <v>0</v>
      </c>
      <c r="J10" s="210"/>
      <c r="K10" s="212">
        <f>CapEx!K30</f>
        <v>0</v>
      </c>
      <c r="L10" s="213">
        <f>CapEx!L30</f>
        <v>0</v>
      </c>
      <c r="M10" s="213">
        <f>CapEx!M30</f>
        <v>0</v>
      </c>
      <c r="N10" s="213">
        <f>CapEx!N30</f>
        <v>0</v>
      </c>
      <c r="O10" s="213">
        <f>CapEx!O30</f>
        <v>0</v>
      </c>
      <c r="P10" s="213">
        <f>CapEx!P30</f>
        <v>0</v>
      </c>
      <c r="Q10" s="213">
        <f>CapEx!Q30</f>
        <v>0</v>
      </c>
      <c r="R10" s="213">
        <f>CapEx!R30</f>
        <v>0</v>
      </c>
      <c r="S10" s="213">
        <f>CapEx!S30</f>
        <v>0</v>
      </c>
      <c r="T10" s="213">
        <f>CapEx!T30</f>
        <v>0</v>
      </c>
      <c r="U10" s="213">
        <f>CapEx!U30</f>
        <v>0</v>
      </c>
      <c r="V10" s="211">
        <f>CapEx!V30</f>
        <v>0</v>
      </c>
      <c r="W10" s="212">
        <f>CapEx!W30</f>
        <v>0</v>
      </c>
      <c r="X10" s="213">
        <f>CapEx!X30</f>
        <v>0</v>
      </c>
      <c r="Y10" s="213">
        <f>CapEx!Y30</f>
        <v>0</v>
      </c>
      <c r="Z10" s="213">
        <f>CapEx!Z30</f>
        <v>0</v>
      </c>
      <c r="AA10" s="213">
        <f>CapEx!AA30</f>
        <v>0</v>
      </c>
      <c r="AB10" s="213">
        <f>CapEx!AB30</f>
        <v>0</v>
      </c>
      <c r="AC10" s="213">
        <f>CapEx!AC30</f>
        <v>0</v>
      </c>
      <c r="AD10" s="213">
        <f>CapEx!AD30</f>
        <v>0</v>
      </c>
      <c r="AE10" s="213">
        <f>CapEx!AE30</f>
        <v>0</v>
      </c>
      <c r="AF10" s="213">
        <f>CapEx!AF30</f>
        <v>0</v>
      </c>
      <c r="AG10" s="213">
        <f>CapEx!AG30</f>
        <v>0</v>
      </c>
      <c r="AH10" s="211">
        <f>CapEx!AH30</f>
        <v>0</v>
      </c>
      <c r="AI10" s="212">
        <f>CapEx!AI30</f>
        <v>0</v>
      </c>
      <c r="AJ10" s="213">
        <f>CapEx!AJ30</f>
        <v>0</v>
      </c>
      <c r="AK10" s="213">
        <f>CapEx!AK30</f>
        <v>0</v>
      </c>
      <c r="AL10" s="213">
        <f>CapEx!AL30</f>
        <v>0</v>
      </c>
      <c r="AM10" s="213">
        <f>CapEx!AM30</f>
        <v>0</v>
      </c>
      <c r="AN10" s="213">
        <f>CapEx!AN30</f>
        <v>0</v>
      </c>
      <c r="AO10" s="213">
        <f>CapEx!AO30</f>
        <v>0</v>
      </c>
      <c r="AP10" s="213">
        <f>CapEx!AP30</f>
        <v>0</v>
      </c>
      <c r="AQ10" s="213">
        <f>CapEx!AQ30</f>
        <v>0</v>
      </c>
      <c r="AR10" s="213">
        <f>CapEx!AR30</f>
        <v>0</v>
      </c>
      <c r="AS10" s="213">
        <f>CapEx!AS30</f>
        <v>0</v>
      </c>
      <c r="AT10" s="211">
        <f>CapEx!AT30</f>
        <v>0</v>
      </c>
      <c r="AU10" s="212">
        <f>CapEx!AU30</f>
        <v>0</v>
      </c>
      <c r="AV10" s="213">
        <f>CapEx!AV30</f>
        <v>0</v>
      </c>
      <c r="AW10" s="213">
        <f>CapEx!AW30</f>
        <v>0</v>
      </c>
      <c r="AX10" s="213">
        <f>CapEx!AX30</f>
        <v>0</v>
      </c>
      <c r="AY10" s="213">
        <f>CapEx!AY30</f>
        <v>0</v>
      </c>
      <c r="AZ10" s="213">
        <f>CapEx!AZ30</f>
        <v>0</v>
      </c>
      <c r="BA10" s="213">
        <f>CapEx!BA30</f>
        <v>0</v>
      </c>
      <c r="BB10" s="213">
        <f>CapEx!BB30</f>
        <v>0</v>
      </c>
      <c r="BC10" s="213">
        <f>CapEx!BC30</f>
        <v>0</v>
      </c>
      <c r="BD10" s="213">
        <f>CapEx!BD30</f>
        <v>0</v>
      </c>
      <c r="BE10" s="213">
        <f>CapEx!BE30</f>
        <v>0</v>
      </c>
      <c r="BF10" s="211">
        <f>CapEx!BF30</f>
        <v>0</v>
      </c>
      <c r="BG10" s="212">
        <f>CapEx!BG30</f>
        <v>0</v>
      </c>
      <c r="BH10" s="213">
        <f>CapEx!BH30</f>
        <v>0</v>
      </c>
      <c r="BI10" s="213">
        <f>CapEx!BI30</f>
        <v>0</v>
      </c>
      <c r="BJ10" s="213">
        <f>CapEx!BJ30</f>
        <v>0</v>
      </c>
      <c r="BK10" s="213">
        <f>CapEx!BK30</f>
        <v>0</v>
      </c>
      <c r="BL10" s="213">
        <f>CapEx!BL30</f>
        <v>0</v>
      </c>
      <c r="BM10" s="213">
        <f>CapEx!BM30</f>
        <v>0</v>
      </c>
      <c r="BN10" s="213">
        <f>CapEx!BN30</f>
        <v>0</v>
      </c>
      <c r="BO10" s="213">
        <f>CapEx!BO30</f>
        <v>0</v>
      </c>
      <c r="BP10" s="213">
        <f>CapEx!BP30</f>
        <v>0</v>
      </c>
      <c r="BQ10" s="213">
        <f>CapEx!BQ30</f>
        <v>0</v>
      </c>
      <c r="BR10" s="211">
        <f>CapEx!BR30</f>
        <v>0</v>
      </c>
    </row>
    <row r="11" spans="1:70" s="14" customFormat="1" ht="13.2" x14ac:dyDescent="0.3">
      <c r="A11" s="13"/>
      <c r="B11" s="13"/>
      <c r="C11" s="185" t="s">
        <v>198</v>
      </c>
      <c r="E11" s="211">
        <f t="shared" si="1"/>
        <v>0</v>
      </c>
      <c r="F11" s="211">
        <f t="shared" si="2"/>
        <v>0</v>
      </c>
      <c r="G11" s="211">
        <f t="shared" si="3"/>
        <v>0</v>
      </c>
      <c r="H11" s="211">
        <f t="shared" si="4"/>
        <v>0</v>
      </c>
      <c r="I11" s="211">
        <f t="shared" si="5"/>
        <v>0</v>
      </c>
      <c r="J11" s="210"/>
      <c r="K11" s="212">
        <f>CapEx!K31</f>
        <v>40</v>
      </c>
      <c r="L11" s="213">
        <f>CapEx!L31</f>
        <v>40</v>
      </c>
      <c r="M11" s="213">
        <f>CapEx!M31</f>
        <v>40</v>
      </c>
      <c r="N11" s="213">
        <f>CapEx!N31</f>
        <v>40</v>
      </c>
      <c r="O11" s="213">
        <f>CapEx!O31</f>
        <v>40</v>
      </c>
      <c r="P11" s="213">
        <f>CapEx!P31</f>
        <v>40</v>
      </c>
      <c r="Q11" s="213">
        <f>CapEx!Q31</f>
        <v>40</v>
      </c>
      <c r="R11" s="213">
        <f>CapEx!R31</f>
        <v>40</v>
      </c>
      <c r="S11" s="213">
        <f>CapEx!S31</f>
        <v>40</v>
      </c>
      <c r="T11" s="213">
        <f>CapEx!T31</f>
        <v>40</v>
      </c>
      <c r="U11" s="213">
        <f>CapEx!U31</f>
        <v>0</v>
      </c>
      <c r="V11" s="211">
        <f>CapEx!V31</f>
        <v>0</v>
      </c>
      <c r="W11" s="212">
        <f>CapEx!W31</f>
        <v>0</v>
      </c>
      <c r="X11" s="213">
        <f>CapEx!X31</f>
        <v>0</v>
      </c>
      <c r="Y11" s="213">
        <f>CapEx!Y31</f>
        <v>0</v>
      </c>
      <c r="Z11" s="213">
        <f>CapEx!Z31</f>
        <v>0</v>
      </c>
      <c r="AA11" s="213">
        <f>CapEx!AA31</f>
        <v>0</v>
      </c>
      <c r="AB11" s="213">
        <f>CapEx!AB31</f>
        <v>0</v>
      </c>
      <c r="AC11" s="213">
        <f>CapEx!AC31</f>
        <v>0</v>
      </c>
      <c r="AD11" s="213">
        <f>CapEx!AD31</f>
        <v>0</v>
      </c>
      <c r="AE11" s="213">
        <f>CapEx!AE31</f>
        <v>0</v>
      </c>
      <c r="AF11" s="213">
        <f>CapEx!AF31</f>
        <v>0</v>
      </c>
      <c r="AG11" s="213">
        <f>CapEx!AG31</f>
        <v>0</v>
      </c>
      <c r="AH11" s="211">
        <f>CapEx!AH31</f>
        <v>0</v>
      </c>
      <c r="AI11" s="212">
        <f>CapEx!AI31</f>
        <v>0</v>
      </c>
      <c r="AJ11" s="213">
        <f>CapEx!AJ31</f>
        <v>0</v>
      </c>
      <c r="AK11" s="213">
        <f>CapEx!AK31</f>
        <v>0</v>
      </c>
      <c r="AL11" s="213">
        <f>CapEx!AL31</f>
        <v>0</v>
      </c>
      <c r="AM11" s="213">
        <f>CapEx!AM31</f>
        <v>0</v>
      </c>
      <c r="AN11" s="213">
        <f>CapEx!AN31</f>
        <v>0</v>
      </c>
      <c r="AO11" s="213">
        <f>CapEx!AO31</f>
        <v>0</v>
      </c>
      <c r="AP11" s="213">
        <f>CapEx!AP31</f>
        <v>0</v>
      </c>
      <c r="AQ11" s="213">
        <f>CapEx!AQ31</f>
        <v>0</v>
      </c>
      <c r="AR11" s="213">
        <f>CapEx!AR31</f>
        <v>0</v>
      </c>
      <c r="AS11" s="213">
        <f>CapEx!AS31</f>
        <v>0</v>
      </c>
      <c r="AT11" s="211">
        <f>CapEx!AT31</f>
        <v>0</v>
      </c>
      <c r="AU11" s="212">
        <f>CapEx!AU31</f>
        <v>0</v>
      </c>
      <c r="AV11" s="213">
        <f>CapEx!AV31</f>
        <v>0</v>
      </c>
      <c r="AW11" s="213">
        <f>CapEx!AW31</f>
        <v>0</v>
      </c>
      <c r="AX11" s="213">
        <f>CapEx!AX31</f>
        <v>0</v>
      </c>
      <c r="AY11" s="213">
        <f>CapEx!AY31</f>
        <v>0</v>
      </c>
      <c r="AZ11" s="213">
        <f>CapEx!AZ31</f>
        <v>0</v>
      </c>
      <c r="BA11" s="213">
        <f>CapEx!BA31</f>
        <v>0</v>
      </c>
      <c r="BB11" s="213">
        <f>CapEx!BB31</f>
        <v>0</v>
      </c>
      <c r="BC11" s="213">
        <f>CapEx!BC31</f>
        <v>0</v>
      </c>
      <c r="BD11" s="213">
        <f>CapEx!BD31</f>
        <v>0</v>
      </c>
      <c r="BE11" s="213">
        <f>CapEx!BE31</f>
        <v>0</v>
      </c>
      <c r="BF11" s="211">
        <f>CapEx!BF31</f>
        <v>0</v>
      </c>
      <c r="BG11" s="212">
        <f>CapEx!BG31</f>
        <v>0</v>
      </c>
      <c r="BH11" s="213">
        <f>CapEx!BH31</f>
        <v>0</v>
      </c>
      <c r="BI11" s="213">
        <f>CapEx!BI31</f>
        <v>0</v>
      </c>
      <c r="BJ11" s="213">
        <f>CapEx!BJ31</f>
        <v>0</v>
      </c>
      <c r="BK11" s="213">
        <f>CapEx!BK31</f>
        <v>0</v>
      </c>
      <c r="BL11" s="213">
        <f>CapEx!BL31</f>
        <v>0</v>
      </c>
      <c r="BM11" s="213">
        <f>CapEx!BM31</f>
        <v>0</v>
      </c>
      <c r="BN11" s="213">
        <f>CapEx!BN31</f>
        <v>0</v>
      </c>
      <c r="BO11" s="213">
        <f>CapEx!BO31</f>
        <v>0</v>
      </c>
      <c r="BP11" s="213">
        <f>CapEx!BP31</f>
        <v>0</v>
      </c>
      <c r="BQ11" s="213">
        <f>CapEx!BQ31</f>
        <v>0</v>
      </c>
      <c r="BR11" s="211">
        <f>CapEx!BR31</f>
        <v>0</v>
      </c>
    </row>
    <row r="12" spans="1:70" s="14" customFormat="1" ht="13.2" x14ac:dyDescent="0.3">
      <c r="A12" s="13"/>
      <c r="B12" s="5"/>
      <c r="C12" s="185" t="s">
        <v>199</v>
      </c>
      <c r="E12" s="211">
        <f t="shared" si="1"/>
        <v>0</v>
      </c>
      <c r="F12" s="211">
        <f t="shared" si="2"/>
        <v>0</v>
      </c>
      <c r="G12" s="211">
        <f t="shared" si="3"/>
        <v>0</v>
      </c>
      <c r="H12" s="211">
        <f t="shared" si="4"/>
        <v>0</v>
      </c>
      <c r="I12" s="211">
        <f t="shared" si="5"/>
        <v>0</v>
      </c>
      <c r="J12" s="210"/>
      <c r="K12" s="212">
        <f>CapEx!K32</f>
        <v>0</v>
      </c>
      <c r="L12" s="213">
        <f>CapEx!L32</f>
        <v>0</v>
      </c>
      <c r="M12" s="213">
        <f>CapEx!M32</f>
        <v>0</v>
      </c>
      <c r="N12" s="213">
        <f>CapEx!N32</f>
        <v>0</v>
      </c>
      <c r="O12" s="213">
        <f>CapEx!O32</f>
        <v>0</v>
      </c>
      <c r="P12" s="213">
        <f>CapEx!P32</f>
        <v>0</v>
      </c>
      <c r="Q12" s="213">
        <f>CapEx!Q32</f>
        <v>0</v>
      </c>
      <c r="R12" s="213">
        <f>CapEx!R32</f>
        <v>0</v>
      </c>
      <c r="S12" s="213">
        <f>CapEx!S32</f>
        <v>0</v>
      </c>
      <c r="T12" s="213">
        <f>CapEx!T32</f>
        <v>0</v>
      </c>
      <c r="U12" s="213">
        <f>CapEx!U32</f>
        <v>0</v>
      </c>
      <c r="V12" s="211">
        <f>CapEx!V32</f>
        <v>0</v>
      </c>
      <c r="W12" s="212">
        <f>CapEx!W32</f>
        <v>0</v>
      </c>
      <c r="X12" s="213">
        <f>CapEx!X32</f>
        <v>0</v>
      </c>
      <c r="Y12" s="213">
        <f>CapEx!Y32</f>
        <v>0</v>
      </c>
      <c r="Z12" s="213">
        <f>CapEx!Z32</f>
        <v>0</v>
      </c>
      <c r="AA12" s="213">
        <f>CapEx!AA32</f>
        <v>0</v>
      </c>
      <c r="AB12" s="213">
        <f>CapEx!AB32</f>
        <v>0</v>
      </c>
      <c r="AC12" s="213">
        <f>CapEx!AC32</f>
        <v>0</v>
      </c>
      <c r="AD12" s="213">
        <f>CapEx!AD32</f>
        <v>0</v>
      </c>
      <c r="AE12" s="213">
        <f>CapEx!AE32</f>
        <v>0</v>
      </c>
      <c r="AF12" s="213">
        <f>CapEx!AF32</f>
        <v>0</v>
      </c>
      <c r="AG12" s="213">
        <f>CapEx!AG32</f>
        <v>0</v>
      </c>
      <c r="AH12" s="211">
        <f>CapEx!AH32</f>
        <v>0</v>
      </c>
      <c r="AI12" s="212">
        <f>CapEx!AI32</f>
        <v>0</v>
      </c>
      <c r="AJ12" s="213">
        <f>CapEx!AJ32</f>
        <v>0</v>
      </c>
      <c r="AK12" s="213">
        <f>CapEx!AK32</f>
        <v>0</v>
      </c>
      <c r="AL12" s="213">
        <f>CapEx!AL32</f>
        <v>0</v>
      </c>
      <c r="AM12" s="213">
        <f>CapEx!AM32</f>
        <v>0</v>
      </c>
      <c r="AN12" s="213">
        <f>CapEx!AN32</f>
        <v>0</v>
      </c>
      <c r="AO12" s="213">
        <f>CapEx!AO32</f>
        <v>0</v>
      </c>
      <c r="AP12" s="213">
        <f>CapEx!AP32</f>
        <v>0</v>
      </c>
      <c r="AQ12" s="213">
        <f>CapEx!AQ32</f>
        <v>0</v>
      </c>
      <c r="AR12" s="213">
        <f>CapEx!AR32</f>
        <v>0</v>
      </c>
      <c r="AS12" s="213">
        <f>CapEx!AS32</f>
        <v>0</v>
      </c>
      <c r="AT12" s="211">
        <f>CapEx!AT32</f>
        <v>0</v>
      </c>
      <c r="AU12" s="212">
        <f>CapEx!AU32</f>
        <v>0</v>
      </c>
      <c r="AV12" s="213">
        <f>CapEx!AV32</f>
        <v>0</v>
      </c>
      <c r="AW12" s="213">
        <f>CapEx!AW32</f>
        <v>0</v>
      </c>
      <c r="AX12" s="213">
        <f>CapEx!AX32</f>
        <v>0</v>
      </c>
      <c r="AY12" s="213">
        <f>CapEx!AY32</f>
        <v>0</v>
      </c>
      <c r="AZ12" s="213">
        <f>CapEx!AZ32</f>
        <v>0</v>
      </c>
      <c r="BA12" s="213">
        <f>CapEx!BA32</f>
        <v>0</v>
      </c>
      <c r="BB12" s="213">
        <f>CapEx!BB32</f>
        <v>0</v>
      </c>
      <c r="BC12" s="213">
        <f>CapEx!BC32</f>
        <v>0</v>
      </c>
      <c r="BD12" s="213">
        <f>CapEx!BD32</f>
        <v>0</v>
      </c>
      <c r="BE12" s="213">
        <f>CapEx!BE32</f>
        <v>0</v>
      </c>
      <c r="BF12" s="211">
        <f>CapEx!BF32</f>
        <v>0</v>
      </c>
      <c r="BG12" s="212">
        <f>CapEx!BG32</f>
        <v>0</v>
      </c>
      <c r="BH12" s="213">
        <f>CapEx!BH32</f>
        <v>0</v>
      </c>
      <c r="BI12" s="213">
        <f>CapEx!BI32</f>
        <v>0</v>
      </c>
      <c r="BJ12" s="213">
        <f>CapEx!BJ32</f>
        <v>0</v>
      </c>
      <c r="BK12" s="213">
        <f>CapEx!BK32</f>
        <v>0</v>
      </c>
      <c r="BL12" s="213">
        <f>CapEx!BL32</f>
        <v>0</v>
      </c>
      <c r="BM12" s="213">
        <f>CapEx!BM32</f>
        <v>0</v>
      </c>
      <c r="BN12" s="213">
        <f>CapEx!BN32</f>
        <v>0</v>
      </c>
      <c r="BO12" s="213">
        <f>CapEx!BO32</f>
        <v>0</v>
      </c>
      <c r="BP12" s="213">
        <f>CapEx!BP32</f>
        <v>0</v>
      </c>
      <c r="BQ12" s="213">
        <f>CapEx!BQ32</f>
        <v>0</v>
      </c>
      <c r="BR12" s="211">
        <f>CapEx!BR32</f>
        <v>0</v>
      </c>
    </row>
    <row r="13" spans="1:70" s="14" customFormat="1" ht="13.2" x14ac:dyDescent="0.3">
      <c r="A13" s="13"/>
      <c r="B13" s="5"/>
      <c r="C13" s="185" t="s">
        <v>200</v>
      </c>
      <c r="E13" s="211">
        <f t="shared" si="1"/>
        <v>100</v>
      </c>
      <c r="F13" s="211">
        <f t="shared" si="2"/>
        <v>0</v>
      </c>
      <c r="G13" s="211">
        <f t="shared" si="3"/>
        <v>0</v>
      </c>
      <c r="H13" s="211">
        <f t="shared" si="4"/>
        <v>0</v>
      </c>
      <c r="I13" s="211">
        <f t="shared" si="5"/>
        <v>0</v>
      </c>
      <c r="J13" s="210"/>
      <c r="K13" s="212">
        <f>CapEx!K33</f>
        <v>0</v>
      </c>
      <c r="L13" s="213">
        <f>CapEx!L33</f>
        <v>0</v>
      </c>
      <c r="M13" s="213">
        <f>CapEx!M33</f>
        <v>0</v>
      </c>
      <c r="N13" s="213">
        <f>CapEx!N33</f>
        <v>0</v>
      </c>
      <c r="O13" s="213">
        <f>CapEx!O33</f>
        <v>0</v>
      </c>
      <c r="P13" s="213">
        <f>CapEx!P33</f>
        <v>100</v>
      </c>
      <c r="Q13" s="213">
        <f>CapEx!Q33</f>
        <v>100</v>
      </c>
      <c r="R13" s="213">
        <f>CapEx!R33</f>
        <v>100</v>
      </c>
      <c r="S13" s="213">
        <f>CapEx!S33</f>
        <v>100</v>
      </c>
      <c r="T13" s="213">
        <f>CapEx!T33</f>
        <v>100</v>
      </c>
      <c r="U13" s="213">
        <f>CapEx!U33</f>
        <v>100</v>
      </c>
      <c r="V13" s="211">
        <f>CapEx!V33</f>
        <v>100</v>
      </c>
      <c r="W13" s="212">
        <f>CapEx!W33</f>
        <v>0</v>
      </c>
      <c r="X13" s="213">
        <f>CapEx!X33</f>
        <v>0</v>
      </c>
      <c r="Y13" s="213">
        <f>CapEx!Y33</f>
        <v>0</v>
      </c>
      <c r="Z13" s="213">
        <f>CapEx!Z33</f>
        <v>0</v>
      </c>
      <c r="AA13" s="213">
        <f>CapEx!AA33</f>
        <v>0</v>
      </c>
      <c r="AB13" s="213">
        <f>CapEx!AB33</f>
        <v>0</v>
      </c>
      <c r="AC13" s="213">
        <f>CapEx!AC33</f>
        <v>0</v>
      </c>
      <c r="AD13" s="213">
        <f>CapEx!AD33</f>
        <v>0</v>
      </c>
      <c r="AE13" s="213">
        <f>CapEx!AE33</f>
        <v>0</v>
      </c>
      <c r="AF13" s="213">
        <f>CapEx!AF33</f>
        <v>0</v>
      </c>
      <c r="AG13" s="213">
        <f>CapEx!AG33</f>
        <v>0</v>
      </c>
      <c r="AH13" s="211">
        <f>CapEx!AH33</f>
        <v>0</v>
      </c>
      <c r="AI13" s="212">
        <f>CapEx!AI33</f>
        <v>0</v>
      </c>
      <c r="AJ13" s="213">
        <f>CapEx!AJ33</f>
        <v>0</v>
      </c>
      <c r="AK13" s="213">
        <f>CapEx!AK33</f>
        <v>0</v>
      </c>
      <c r="AL13" s="213">
        <f>CapEx!AL33</f>
        <v>0</v>
      </c>
      <c r="AM13" s="213">
        <f>CapEx!AM33</f>
        <v>0</v>
      </c>
      <c r="AN13" s="213">
        <f>CapEx!AN33</f>
        <v>0</v>
      </c>
      <c r="AO13" s="213">
        <f>CapEx!AO33</f>
        <v>0</v>
      </c>
      <c r="AP13" s="213">
        <f>CapEx!AP33</f>
        <v>0</v>
      </c>
      <c r="AQ13" s="213">
        <f>CapEx!AQ33</f>
        <v>0</v>
      </c>
      <c r="AR13" s="213">
        <f>CapEx!AR33</f>
        <v>0</v>
      </c>
      <c r="AS13" s="213">
        <f>CapEx!AS33</f>
        <v>0</v>
      </c>
      <c r="AT13" s="211">
        <f>CapEx!AT33</f>
        <v>0</v>
      </c>
      <c r="AU13" s="212">
        <f>CapEx!AU33</f>
        <v>0</v>
      </c>
      <c r="AV13" s="213">
        <f>CapEx!AV33</f>
        <v>0</v>
      </c>
      <c r="AW13" s="213">
        <f>CapEx!AW33</f>
        <v>0</v>
      </c>
      <c r="AX13" s="213">
        <f>CapEx!AX33</f>
        <v>0</v>
      </c>
      <c r="AY13" s="213">
        <f>CapEx!AY33</f>
        <v>0</v>
      </c>
      <c r="AZ13" s="213">
        <f>CapEx!AZ33</f>
        <v>0</v>
      </c>
      <c r="BA13" s="213">
        <f>CapEx!BA33</f>
        <v>0</v>
      </c>
      <c r="BB13" s="213">
        <f>CapEx!BB33</f>
        <v>0</v>
      </c>
      <c r="BC13" s="213">
        <f>CapEx!BC33</f>
        <v>0</v>
      </c>
      <c r="BD13" s="213">
        <f>CapEx!BD33</f>
        <v>0</v>
      </c>
      <c r="BE13" s="213">
        <f>CapEx!BE33</f>
        <v>0</v>
      </c>
      <c r="BF13" s="211">
        <f>CapEx!BF33</f>
        <v>0</v>
      </c>
      <c r="BG13" s="212">
        <f>CapEx!BG33</f>
        <v>0</v>
      </c>
      <c r="BH13" s="213">
        <f>CapEx!BH33</f>
        <v>0</v>
      </c>
      <c r="BI13" s="213">
        <f>CapEx!BI33</f>
        <v>0</v>
      </c>
      <c r="BJ13" s="213">
        <f>CapEx!BJ33</f>
        <v>0</v>
      </c>
      <c r="BK13" s="213">
        <f>CapEx!BK33</f>
        <v>0</v>
      </c>
      <c r="BL13" s="213">
        <f>CapEx!BL33</f>
        <v>0</v>
      </c>
      <c r="BM13" s="213">
        <f>CapEx!BM33</f>
        <v>0</v>
      </c>
      <c r="BN13" s="213">
        <f>CapEx!BN33</f>
        <v>0</v>
      </c>
      <c r="BO13" s="213">
        <f>CapEx!BO33</f>
        <v>0</v>
      </c>
      <c r="BP13" s="213">
        <f>CapEx!BP33</f>
        <v>0</v>
      </c>
      <c r="BQ13" s="213">
        <f>CapEx!BQ33</f>
        <v>0</v>
      </c>
      <c r="BR13" s="211">
        <f>CapEx!BR33</f>
        <v>0</v>
      </c>
    </row>
    <row r="14" spans="1:70" s="14" customFormat="1" ht="13.2" x14ac:dyDescent="0.3">
      <c r="A14" s="13"/>
      <c r="B14" s="5"/>
      <c r="C14" s="185" t="str">
        <f>CapEx!C10</f>
        <v>Land</v>
      </c>
      <c r="E14" s="211">
        <f t="shared" si="1"/>
        <v>50</v>
      </c>
      <c r="F14" s="211">
        <f t="shared" si="2"/>
        <v>50</v>
      </c>
      <c r="G14" s="211">
        <f t="shared" si="3"/>
        <v>50</v>
      </c>
      <c r="H14" s="211">
        <f t="shared" si="4"/>
        <v>50</v>
      </c>
      <c r="I14" s="211">
        <f t="shared" si="5"/>
        <v>0</v>
      </c>
      <c r="J14" s="210"/>
      <c r="K14" s="212">
        <f>CapEx!K34</f>
        <v>0</v>
      </c>
      <c r="L14" s="213">
        <f>CapEx!L34</f>
        <v>0</v>
      </c>
      <c r="M14" s="213">
        <f>CapEx!M34</f>
        <v>50</v>
      </c>
      <c r="N14" s="213">
        <f>CapEx!N34</f>
        <v>50</v>
      </c>
      <c r="O14" s="213">
        <f>CapEx!O34</f>
        <v>50</v>
      </c>
      <c r="P14" s="213">
        <f>CapEx!P34</f>
        <v>50</v>
      </c>
      <c r="Q14" s="213">
        <f>CapEx!Q34</f>
        <v>50</v>
      </c>
      <c r="R14" s="213">
        <f>CapEx!R34</f>
        <v>50</v>
      </c>
      <c r="S14" s="213">
        <f>CapEx!S34</f>
        <v>50</v>
      </c>
      <c r="T14" s="213">
        <f>CapEx!T34</f>
        <v>50</v>
      </c>
      <c r="U14" s="213">
        <f>CapEx!U34</f>
        <v>50</v>
      </c>
      <c r="V14" s="211">
        <f>CapEx!V34</f>
        <v>50</v>
      </c>
      <c r="W14" s="212">
        <f>CapEx!W34</f>
        <v>50</v>
      </c>
      <c r="X14" s="213">
        <f>CapEx!X34</f>
        <v>50</v>
      </c>
      <c r="Y14" s="213">
        <f>CapEx!Y34</f>
        <v>50</v>
      </c>
      <c r="Z14" s="213">
        <f>CapEx!Z34</f>
        <v>50</v>
      </c>
      <c r="AA14" s="213">
        <f>CapEx!AA34</f>
        <v>50</v>
      </c>
      <c r="AB14" s="213">
        <f>CapEx!AB34</f>
        <v>50</v>
      </c>
      <c r="AC14" s="213">
        <f>CapEx!AC34</f>
        <v>50</v>
      </c>
      <c r="AD14" s="213">
        <f>CapEx!AD34</f>
        <v>50</v>
      </c>
      <c r="AE14" s="213">
        <f>CapEx!AE34</f>
        <v>50</v>
      </c>
      <c r="AF14" s="213">
        <f>CapEx!AF34</f>
        <v>50</v>
      </c>
      <c r="AG14" s="213">
        <f>CapEx!AG34</f>
        <v>50</v>
      </c>
      <c r="AH14" s="211">
        <f>CapEx!AH34</f>
        <v>50</v>
      </c>
      <c r="AI14" s="212">
        <f>CapEx!AI34</f>
        <v>50</v>
      </c>
      <c r="AJ14" s="213">
        <f>CapEx!AJ34</f>
        <v>50</v>
      </c>
      <c r="AK14" s="213">
        <f>CapEx!AK34</f>
        <v>50</v>
      </c>
      <c r="AL14" s="213">
        <f>CapEx!AL34</f>
        <v>50</v>
      </c>
      <c r="AM14" s="213">
        <f>CapEx!AM34</f>
        <v>50</v>
      </c>
      <c r="AN14" s="213">
        <f>CapEx!AN34</f>
        <v>50</v>
      </c>
      <c r="AO14" s="213">
        <f>CapEx!AO34</f>
        <v>50</v>
      </c>
      <c r="AP14" s="213">
        <f>CapEx!AP34</f>
        <v>50</v>
      </c>
      <c r="AQ14" s="213">
        <f>CapEx!AQ34</f>
        <v>50</v>
      </c>
      <c r="AR14" s="213">
        <f>CapEx!AR34</f>
        <v>50</v>
      </c>
      <c r="AS14" s="213">
        <f>CapEx!AS34</f>
        <v>50</v>
      </c>
      <c r="AT14" s="211">
        <f>CapEx!AT34</f>
        <v>50</v>
      </c>
      <c r="AU14" s="212">
        <f>CapEx!AU34</f>
        <v>50</v>
      </c>
      <c r="AV14" s="213">
        <f>CapEx!AV34</f>
        <v>50</v>
      </c>
      <c r="AW14" s="213">
        <f>CapEx!AW34</f>
        <v>50</v>
      </c>
      <c r="AX14" s="213">
        <f>CapEx!AX34</f>
        <v>50</v>
      </c>
      <c r="AY14" s="213">
        <f>CapEx!AY34</f>
        <v>50</v>
      </c>
      <c r="AZ14" s="213">
        <f>CapEx!AZ34</f>
        <v>50</v>
      </c>
      <c r="BA14" s="213">
        <f>CapEx!BA34</f>
        <v>50</v>
      </c>
      <c r="BB14" s="213">
        <f>CapEx!BB34</f>
        <v>50</v>
      </c>
      <c r="BC14" s="213">
        <f>CapEx!BC34</f>
        <v>50</v>
      </c>
      <c r="BD14" s="213">
        <f>CapEx!BD34</f>
        <v>50</v>
      </c>
      <c r="BE14" s="213">
        <f>CapEx!BE34</f>
        <v>50</v>
      </c>
      <c r="BF14" s="211">
        <f>CapEx!BF34</f>
        <v>50</v>
      </c>
      <c r="BG14" s="212">
        <f>CapEx!BG34</f>
        <v>50</v>
      </c>
      <c r="BH14" s="213">
        <f>CapEx!BH34</f>
        <v>50</v>
      </c>
      <c r="BI14" s="213">
        <f>CapEx!BI34</f>
        <v>50</v>
      </c>
      <c r="BJ14" s="213">
        <f>CapEx!BJ34</f>
        <v>50</v>
      </c>
      <c r="BK14" s="213">
        <f>CapEx!BK34</f>
        <v>50</v>
      </c>
      <c r="BL14" s="213">
        <f>CapEx!BL34</f>
        <v>50</v>
      </c>
      <c r="BM14" s="213">
        <f>CapEx!BM34</f>
        <v>50</v>
      </c>
      <c r="BN14" s="213">
        <f>CapEx!BN34</f>
        <v>50</v>
      </c>
      <c r="BO14" s="213">
        <f>CapEx!BO34</f>
        <v>50</v>
      </c>
      <c r="BP14" s="213">
        <f>CapEx!BP34</f>
        <v>50</v>
      </c>
      <c r="BQ14" s="213">
        <f>CapEx!BQ34</f>
        <v>0</v>
      </c>
      <c r="BR14" s="211">
        <f>CapEx!BR34</f>
        <v>0</v>
      </c>
    </row>
    <row r="15" spans="1:70" s="14" customFormat="1" ht="13.2" x14ac:dyDescent="0.3">
      <c r="A15" s="13"/>
      <c r="B15" s="5"/>
      <c r="C15" s="178" t="str">
        <f>CapEx!C11</f>
        <v>All other</v>
      </c>
      <c r="E15" s="215">
        <f t="shared" si="1"/>
        <v>0</v>
      </c>
      <c r="F15" s="215">
        <f t="shared" si="2"/>
        <v>0</v>
      </c>
      <c r="G15" s="215">
        <f t="shared" si="3"/>
        <v>0</v>
      </c>
      <c r="H15" s="215">
        <f t="shared" si="4"/>
        <v>0</v>
      </c>
      <c r="I15" s="215">
        <f t="shared" si="5"/>
        <v>0</v>
      </c>
      <c r="J15" s="210"/>
      <c r="K15" s="216">
        <f>CapEx!K35</f>
        <v>0</v>
      </c>
      <c r="L15" s="216">
        <f>CapEx!L35</f>
        <v>0</v>
      </c>
      <c r="M15" s="216">
        <f>CapEx!M35</f>
        <v>0</v>
      </c>
      <c r="N15" s="216">
        <f>CapEx!N35</f>
        <v>0</v>
      </c>
      <c r="O15" s="216">
        <f>CapEx!O35</f>
        <v>0</v>
      </c>
      <c r="P15" s="216">
        <f>CapEx!P35</f>
        <v>0</v>
      </c>
      <c r="Q15" s="216">
        <f>CapEx!Q35</f>
        <v>0</v>
      </c>
      <c r="R15" s="216">
        <f>CapEx!R35</f>
        <v>0</v>
      </c>
      <c r="S15" s="216">
        <f>CapEx!S35</f>
        <v>0</v>
      </c>
      <c r="T15" s="216">
        <f>CapEx!T35</f>
        <v>0</v>
      </c>
      <c r="U15" s="216">
        <f>CapEx!U35</f>
        <v>0</v>
      </c>
      <c r="V15" s="215">
        <f>CapEx!V35</f>
        <v>0</v>
      </c>
      <c r="W15" s="216">
        <f>CapEx!W35</f>
        <v>0</v>
      </c>
      <c r="X15" s="216">
        <f>CapEx!X35</f>
        <v>0</v>
      </c>
      <c r="Y15" s="216">
        <f>CapEx!Y35</f>
        <v>0</v>
      </c>
      <c r="Z15" s="216">
        <f>CapEx!Z35</f>
        <v>0</v>
      </c>
      <c r="AA15" s="216">
        <f>CapEx!AA35</f>
        <v>0</v>
      </c>
      <c r="AB15" s="216">
        <f>CapEx!AB35</f>
        <v>0</v>
      </c>
      <c r="AC15" s="216">
        <f>CapEx!AC35</f>
        <v>0</v>
      </c>
      <c r="AD15" s="216">
        <f>CapEx!AD35</f>
        <v>0</v>
      </c>
      <c r="AE15" s="216">
        <f>CapEx!AE35</f>
        <v>0</v>
      </c>
      <c r="AF15" s="216">
        <f>CapEx!AF35</f>
        <v>0</v>
      </c>
      <c r="AG15" s="216">
        <f>CapEx!AG35</f>
        <v>0</v>
      </c>
      <c r="AH15" s="215">
        <f>CapEx!AH35</f>
        <v>0</v>
      </c>
      <c r="AI15" s="216">
        <f>CapEx!AI35</f>
        <v>0</v>
      </c>
      <c r="AJ15" s="216">
        <f>CapEx!AJ35</f>
        <v>0</v>
      </c>
      <c r="AK15" s="216">
        <f>CapEx!AK35</f>
        <v>0</v>
      </c>
      <c r="AL15" s="216">
        <f>CapEx!AL35</f>
        <v>0</v>
      </c>
      <c r="AM15" s="216">
        <f>CapEx!AM35</f>
        <v>0</v>
      </c>
      <c r="AN15" s="216">
        <f>CapEx!AN35</f>
        <v>0</v>
      </c>
      <c r="AO15" s="216">
        <f>CapEx!AO35</f>
        <v>0</v>
      </c>
      <c r="AP15" s="216">
        <f>CapEx!AP35</f>
        <v>0</v>
      </c>
      <c r="AQ15" s="216">
        <f>CapEx!AQ35</f>
        <v>0</v>
      </c>
      <c r="AR15" s="216">
        <f>CapEx!AR35</f>
        <v>0</v>
      </c>
      <c r="AS15" s="216">
        <f>CapEx!AS35</f>
        <v>0</v>
      </c>
      <c r="AT15" s="215">
        <f>CapEx!AT35</f>
        <v>0</v>
      </c>
      <c r="AU15" s="216">
        <f>CapEx!AU35</f>
        <v>0</v>
      </c>
      <c r="AV15" s="216">
        <f>CapEx!AV35</f>
        <v>0</v>
      </c>
      <c r="AW15" s="216">
        <f>CapEx!AW35</f>
        <v>0</v>
      </c>
      <c r="AX15" s="216">
        <f>CapEx!AX35</f>
        <v>0</v>
      </c>
      <c r="AY15" s="216">
        <f>CapEx!AY35</f>
        <v>0</v>
      </c>
      <c r="AZ15" s="216">
        <f>CapEx!AZ35</f>
        <v>0</v>
      </c>
      <c r="BA15" s="216">
        <f>CapEx!BA35</f>
        <v>0</v>
      </c>
      <c r="BB15" s="216">
        <f>CapEx!BB35</f>
        <v>0</v>
      </c>
      <c r="BC15" s="216">
        <f>CapEx!BC35</f>
        <v>0</v>
      </c>
      <c r="BD15" s="216">
        <f>CapEx!BD35</f>
        <v>0</v>
      </c>
      <c r="BE15" s="216">
        <f>CapEx!BE35</f>
        <v>0</v>
      </c>
      <c r="BF15" s="215">
        <f>CapEx!BF35</f>
        <v>0</v>
      </c>
      <c r="BG15" s="216">
        <f>CapEx!BG35</f>
        <v>0</v>
      </c>
      <c r="BH15" s="216">
        <f>CapEx!BH35</f>
        <v>0</v>
      </c>
      <c r="BI15" s="216">
        <f>CapEx!BI35</f>
        <v>0</v>
      </c>
      <c r="BJ15" s="216">
        <f>CapEx!BJ35</f>
        <v>0</v>
      </c>
      <c r="BK15" s="216">
        <f>CapEx!BK35</f>
        <v>0</v>
      </c>
      <c r="BL15" s="216">
        <f>CapEx!BL35</f>
        <v>0</v>
      </c>
      <c r="BM15" s="216">
        <f>CapEx!BM35</f>
        <v>0</v>
      </c>
      <c r="BN15" s="216">
        <f>CapEx!BN35</f>
        <v>0</v>
      </c>
      <c r="BO15" s="216">
        <f>CapEx!BO35</f>
        <v>0</v>
      </c>
      <c r="BP15" s="216">
        <f>CapEx!BP35</f>
        <v>0</v>
      </c>
      <c r="BQ15" s="216">
        <f>CapEx!BQ35</f>
        <v>0</v>
      </c>
      <c r="BR15" s="215">
        <f>CapEx!BR35</f>
        <v>0</v>
      </c>
    </row>
    <row r="16" spans="1:70" s="14" customFormat="1" ht="13.2" x14ac:dyDescent="0.3">
      <c r="A16" s="13"/>
      <c r="B16" s="5"/>
      <c r="C16" s="181" t="s">
        <v>201</v>
      </c>
      <c r="E16" s="222">
        <f t="shared" si="1"/>
        <v>150</v>
      </c>
      <c r="F16" s="222">
        <f t="shared" si="2"/>
        <v>50</v>
      </c>
      <c r="G16" s="222">
        <f t="shared" si="3"/>
        <v>50</v>
      </c>
      <c r="H16" s="222">
        <f t="shared" si="4"/>
        <v>50</v>
      </c>
      <c r="I16" s="222">
        <f t="shared" si="5"/>
        <v>0</v>
      </c>
      <c r="J16" s="16"/>
      <c r="K16" s="223">
        <f>SUM(K10:K15)</f>
        <v>40</v>
      </c>
      <c r="L16" s="223">
        <f t="shared" ref="L16:O16" si="6">SUM(L10:L15)</f>
        <v>40</v>
      </c>
      <c r="M16" s="223">
        <f t="shared" si="6"/>
        <v>90</v>
      </c>
      <c r="N16" s="223">
        <f t="shared" si="6"/>
        <v>90</v>
      </c>
      <c r="O16" s="223">
        <f t="shared" si="6"/>
        <v>90</v>
      </c>
      <c r="P16" s="223">
        <f>SUM(P10:P15)</f>
        <v>190</v>
      </c>
      <c r="Q16" s="223">
        <f t="shared" ref="Q16:AB16" si="7">SUM(Q10:Q15)</f>
        <v>190</v>
      </c>
      <c r="R16" s="223">
        <f t="shared" si="7"/>
        <v>190</v>
      </c>
      <c r="S16" s="223">
        <f t="shared" si="7"/>
        <v>190</v>
      </c>
      <c r="T16" s="223">
        <f t="shared" si="7"/>
        <v>190</v>
      </c>
      <c r="U16" s="223">
        <f t="shared" si="7"/>
        <v>150</v>
      </c>
      <c r="V16" s="222">
        <f t="shared" si="7"/>
        <v>150</v>
      </c>
      <c r="W16" s="223">
        <f t="shared" si="7"/>
        <v>50</v>
      </c>
      <c r="X16" s="223">
        <f t="shared" si="7"/>
        <v>50</v>
      </c>
      <c r="Y16" s="223">
        <f t="shared" si="7"/>
        <v>50</v>
      </c>
      <c r="Z16" s="223">
        <f t="shared" si="7"/>
        <v>50</v>
      </c>
      <c r="AA16" s="223">
        <f t="shared" si="7"/>
        <v>50</v>
      </c>
      <c r="AB16" s="223">
        <f t="shared" si="7"/>
        <v>50</v>
      </c>
      <c r="AC16" s="223">
        <f>SUM(AC10:AC15)</f>
        <v>50</v>
      </c>
      <c r="AD16" s="223">
        <f t="shared" ref="AD16:AS16" si="8">SUM(AD10:AD15)</f>
        <v>50</v>
      </c>
      <c r="AE16" s="223">
        <f t="shared" si="8"/>
        <v>50</v>
      </c>
      <c r="AF16" s="223">
        <f t="shared" si="8"/>
        <v>50</v>
      </c>
      <c r="AG16" s="223">
        <f t="shared" si="8"/>
        <v>50</v>
      </c>
      <c r="AH16" s="222">
        <f t="shared" si="8"/>
        <v>50</v>
      </c>
      <c r="AI16" s="223">
        <f t="shared" si="8"/>
        <v>50</v>
      </c>
      <c r="AJ16" s="223">
        <f t="shared" si="8"/>
        <v>50</v>
      </c>
      <c r="AK16" s="223">
        <f t="shared" si="8"/>
        <v>50</v>
      </c>
      <c r="AL16" s="223">
        <f t="shared" si="8"/>
        <v>50</v>
      </c>
      <c r="AM16" s="223">
        <f t="shared" si="8"/>
        <v>50</v>
      </c>
      <c r="AN16" s="223">
        <f t="shared" si="8"/>
        <v>50</v>
      </c>
      <c r="AO16" s="223">
        <f t="shared" si="8"/>
        <v>50</v>
      </c>
      <c r="AP16" s="223">
        <f t="shared" si="8"/>
        <v>50</v>
      </c>
      <c r="AQ16" s="223">
        <f t="shared" si="8"/>
        <v>50</v>
      </c>
      <c r="AR16" s="223">
        <f t="shared" si="8"/>
        <v>50</v>
      </c>
      <c r="AS16" s="223">
        <f t="shared" si="8"/>
        <v>50</v>
      </c>
      <c r="AT16" s="222">
        <f>SUM(AT10:AT15)</f>
        <v>50</v>
      </c>
      <c r="AU16" s="223">
        <f t="shared" ref="AU16:BR16" si="9">SUM(AU10:AU15)</f>
        <v>50</v>
      </c>
      <c r="AV16" s="223">
        <f t="shared" si="9"/>
        <v>50</v>
      </c>
      <c r="AW16" s="223">
        <f t="shared" si="9"/>
        <v>50</v>
      </c>
      <c r="AX16" s="223">
        <f t="shared" si="9"/>
        <v>50</v>
      </c>
      <c r="AY16" s="223">
        <f t="shared" si="9"/>
        <v>50</v>
      </c>
      <c r="AZ16" s="223">
        <f t="shared" si="9"/>
        <v>50</v>
      </c>
      <c r="BA16" s="223">
        <f t="shared" si="9"/>
        <v>50</v>
      </c>
      <c r="BB16" s="223">
        <f t="shared" si="9"/>
        <v>50</v>
      </c>
      <c r="BC16" s="223">
        <f t="shared" si="9"/>
        <v>50</v>
      </c>
      <c r="BD16" s="223">
        <f t="shared" si="9"/>
        <v>50</v>
      </c>
      <c r="BE16" s="223">
        <f t="shared" si="9"/>
        <v>50</v>
      </c>
      <c r="BF16" s="222">
        <f t="shared" si="9"/>
        <v>50</v>
      </c>
      <c r="BG16" s="223">
        <f t="shared" si="9"/>
        <v>50</v>
      </c>
      <c r="BH16" s="223">
        <f t="shared" si="9"/>
        <v>50</v>
      </c>
      <c r="BI16" s="223">
        <f t="shared" si="9"/>
        <v>50</v>
      </c>
      <c r="BJ16" s="223">
        <f t="shared" si="9"/>
        <v>50</v>
      </c>
      <c r="BK16" s="223">
        <f t="shared" si="9"/>
        <v>50</v>
      </c>
      <c r="BL16" s="223">
        <f t="shared" si="9"/>
        <v>50</v>
      </c>
      <c r="BM16" s="223">
        <f t="shared" si="9"/>
        <v>50</v>
      </c>
      <c r="BN16" s="223">
        <f t="shared" si="9"/>
        <v>50</v>
      </c>
      <c r="BO16" s="223">
        <f t="shared" si="9"/>
        <v>50</v>
      </c>
      <c r="BP16" s="223">
        <f t="shared" si="9"/>
        <v>50</v>
      </c>
      <c r="BQ16" s="223">
        <f t="shared" si="9"/>
        <v>0</v>
      </c>
      <c r="BR16" s="222">
        <f t="shared" si="9"/>
        <v>0</v>
      </c>
    </row>
    <row r="17" spans="1:70" s="14" customFormat="1" ht="13.2" x14ac:dyDescent="0.3">
      <c r="A17" s="13"/>
      <c r="B17" s="5"/>
      <c r="C17" s="240" t="s">
        <v>202</v>
      </c>
      <c r="E17" s="211">
        <f t="shared" si="1"/>
        <v>-50</v>
      </c>
      <c r="F17" s="211">
        <f t="shared" si="2"/>
        <v>0</v>
      </c>
      <c r="G17" s="211">
        <f t="shared" si="3"/>
        <v>0</v>
      </c>
      <c r="H17" s="211">
        <f t="shared" si="4"/>
        <v>0</v>
      </c>
      <c r="I17" s="211">
        <f t="shared" si="5"/>
        <v>0</v>
      </c>
      <c r="J17" s="210"/>
      <c r="K17" s="212">
        <f>CapEx!K28</f>
        <v>-4</v>
      </c>
      <c r="L17" s="213">
        <f>CapEx!L28</f>
        <v>-8</v>
      </c>
      <c r="M17" s="213">
        <f>CapEx!M28</f>
        <v>-12</v>
      </c>
      <c r="N17" s="213">
        <f>CapEx!N28</f>
        <v>-16</v>
      </c>
      <c r="O17" s="213">
        <f>CapEx!O28</f>
        <v>-20</v>
      </c>
      <c r="P17" s="213">
        <f>CapEx!P28</f>
        <v>-31.142857142857142</v>
      </c>
      <c r="Q17" s="213">
        <f>CapEx!Q28</f>
        <v>-42.285714285714285</v>
      </c>
      <c r="R17" s="213">
        <f>CapEx!R28</f>
        <v>-53.428571428571431</v>
      </c>
      <c r="S17" s="213">
        <f>CapEx!S28</f>
        <v>-64.571428571428569</v>
      </c>
      <c r="T17" s="213">
        <f>CapEx!T28</f>
        <v>-75.714285714285722</v>
      </c>
      <c r="U17" s="213">
        <f>CapEx!U28</f>
        <v>-42.857142857142861</v>
      </c>
      <c r="V17" s="211">
        <f>CapEx!V28</f>
        <v>-50</v>
      </c>
      <c r="W17" s="212">
        <f>CapEx!W28</f>
        <v>0</v>
      </c>
      <c r="X17" s="213">
        <f>CapEx!X28</f>
        <v>0</v>
      </c>
      <c r="Y17" s="213">
        <f>CapEx!Y28</f>
        <v>0</v>
      </c>
      <c r="Z17" s="213">
        <f>CapEx!Z28</f>
        <v>0</v>
      </c>
      <c r="AA17" s="213">
        <f>CapEx!AA28</f>
        <v>0</v>
      </c>
      <c r="AB17" s="213">
        <f>CapEx!AB28</f>
        <v>0</v>
      </c>
      <c r="AC17" s="213">
        <f>CapEx!AC28</f>
        <v>0</v>
      </c>
      <c r="AD17" s="213">
        <f>CapEx!AD28</f>
        <v>0</v>
      </c>
      <c r="AE17" s="213">
        <f>CapEx!AE28</f>
        <v>0</v>
      </c>
      <c r="AF17" s="213">
        <f>CapEx!AF28</f>
        <v>0</v>
      </c>
      <c r="AG17" s="213">
        <f>CapEx!AG28</f>
        <v>0</v>
      </c>
      <c r="AH17" s="211">
        <f>CapEx!AH28</f>
        <v>0</v>
      </c>
      <c r="AI17" s="212">
        <f>CapEx!AI28</f>
        <v>0</v>
      </c>
      <c r="AJ17" s="213">
        <f>CapEx!AJ28</f>
        <v>0</v>
      </c>
      <c r="AK17" s="213">
        <f>CapEx!AK28</f>
        <v>0</v>
      </c>
      <c r="AL17" s="213">
        <f>CapEx!AL28</f>
        <v>0</v>
      </c>
      <c r="AM17" s="213">
        <f>CapEx!AM28</f>
        <v>0</v>
      </c>
      <c r="AN17" s="213">
        <f>CapEx!AN28</f>
        <v>0</v>
      </c>
      <c r="AO17" s="213">
        <f>CapEx!AO28</f>
        <v>0</v>
      </c>
      <c r="AP17" s="213">
        <f>CapEx!AP28</f>
        <v>0</v>
      </c>
      <c r="AQ17" s="213">
        <f>CapEx!AQ28</f>
        <v>0</v>
      </c>
      <c r="AR17" s="213">
        <f>CapEx!AR28</f>
        <v>0</v>
      </c>
      <c r="AS17" s="213">
        <f>CapEx!AS28</f>
        <v>0</v>
      </c>
      <c r="AT17" s="211">
        <f>CapEx!AT28</f>
        <v>0</v>
      </c>
      <c r="AU17" s="212">
        <f>CapEx!AU28</f>
        <v>0</v>
      </c>
      <c r="AV17" s="213">
        <f>CapEx!AV28</f>
        <v>0</v>
      </c>
      <c r="AW17" s="213">
        <f>CapEx!AW28</f>
        <v>0</v>
      </c>
      <c r="AX17" s="213">
        <f>CapEx!AX28</f>
        <v>0</v>
      </c>
      <c r="AY17" s="213">
        <f>CapEx!AY28</f>
        <v>0</v>
      </c>
      <c r="AZ17" s="213">
        <f>CapEx!AZ28</f>
        <v>0</v>
      </c>
      <c r="BA17" s="213">
        <f>CapEx!BA28</f>
        <v>0</v>
      </c>
      <c r="BB17" s="213">
        <f>CapEx!BB28</f>
        <v>0</v>
      </c>
      <c r="BC17" s="213">
        <f>CapEx!BC28</f>
        <v>0</v>
      </c>
      <c r="BD17" s="213">
        <f>CapEx!BD28</f>
        <v>0</v>
      </c>
      <c r="BE17" s="213">
        <f>CapEx!BE28</f>
        <v>0</v>
      </c>
      <c r="BF17" s="211">
        <f>CapEx!BF28</f>
        <v>0</v>
      </c>
      <c r="BG17" s="212">
        <f>CapEx!BG28</f>
        <v>0</v>
      </c>
      <c r="BH17" s="213">
        <f>CapEx!BH28</f>
        <v>0</v>
      </c>
      <c r="BI17" s="213">
        <f>CapEx!BI28</f>
        <v>0</v>
      </c>
      <c r="BJ17" s="213">
        <f>CapEx!BJ28</f>
        <v>0</v>
      </c>
      <c r="BK17" s="213">
        <f>CapEx!BK28</f>
        <v>0</v>
      </c>
      <c r="BL17" s="213">
        <f>CapEx!BL28</f>
        <v>0</v>
      </c>
      <c r="BM17" s="213">
        <f>CapEx!BM28</f>
        <v>0</v>
      </c>
      <c r="BN17" s="213">
        <f>CapEx!BN28</f>
        <v>0</v>
      </c>
      <c r="BO17" s="213">
        <f>CapEx!BO28</f>
        <v>0</v>
      </c>
      <c r="BP17" s="213">
        <f>CapEx!BP28</f>
        <v>0</v>
      </c>
      <c r="BQ17" s="213">
        <f>CapEx!BQ28</f>
        <v>0</v>
      </c>
      <c r="BR17" s="211">
        <f>CapEx!BR28</f>
        <v>0</v>
      </c>
    </row>
    <row r="18" spans="1:70" s="14" customFormat="1" ht="13.2" x14ac:dyDescent="0.3">
      <c r="A18" s="13"/>
      <c r="B18" s="5"/>
      <c r="C18" s="240" t="s">
        <v>203</v>
      </c>
      <c r="E18" s="211">
        <f t="shared" si="1"/>
        <v>-50</v>
      </c>
      <c r="F18" s="211">
        <f t="shared" si="2"/>
        <v>0</v>
      </c>
      <c r="G18" s="211">
        <f t="shared" si="3"/>
        <v>0</v>
      </c>
      <c r="H18" s="211">
        <f t="shared" si="4"/>
        <v>0</v>
      </c>
      <c r="I18" s="211">
        <f t="shared" si="5"/>
        <v>0</v>
      </c>
      <c r="J18" s="210"/>
      <c r="K18" s="212">
        <f>CapEx!K52-CapEx!K44</f>
        <v>0</v>
      </c>
      <c r="L18" s="213">
        <f>CapEx!L52-CapEx!L44</f>
        <v>0</v>
      </c>
      <c r="M18" s="213">
        <f>CapEx!M52-CapEx!M44</f>
        <v>0</v>
      </c>
      <c r="N18" s="213">
        <f>CapEx!N52-CapEx!N44</f>
        <v>0</v>
      </c>
      <c r="O18" s="213">
        <f>CapEx!O52-CapEx!O44</f>
        <v>0</v>
      </c>
      <c r="P18" s="213">
        <f>CapEx!P52-CapEx!P44</f>
        <v>0</v>
      </c>
      <c r="Q18" s="213">
        <f>CapEx!Q52-CapEx!Q44</f>
        <v>0</v>
      </c>
      <c r="R18" s="213">
        <f>CapEx!R52-CapEx!R44</f>
        <v>0</v>
      </c>
      <c r="S18" s="213">
        <f>CapEx!S52-CapEx!S44</f>
        <v>0</v>
      </c>
      <c r="T18" s="213">
        <f>CapEx!T52-CapEx!T44</f>
        <v>0</v>
      </c>
      <c r="U18" s="213">
        <f>CapEx!U52-CapEx!U44</f>
        <v>0</v>
      </c>
      <c r="V18" s="211">
        <f>CapEx!V52-CapEx!V44</f>
        <v>-50</v>
      </c>
      <c r="W18" s="212">
        <f>CapEx!W52-CapEx!W44</f>
        <v>0</v>
      </c>
      <c r="X18" s="213">
        <f>CapEx!X52-CapEx!X44</f>
        <v>0</v>
      </c>
      <c r="Y18" s="213">
        <f>CapEx!Y52-CapEx!Y44</f>
        <v>0</v>
      </c>
      <c r="Z18" s="213">
        <f>CapEx!Z52-CapEx!Z44</f>
        <v>0</v>
      </c>
      <c r="AA18" s="213">
        <f>CapEx!AA52-CapEx!AA44</f>
        <v>0</v>
      </c>
      <c r="AB18" s="213">
        <f>CapEx!AB52-CapEx!AB44</f>
        <v>0</v>
      </c>
      <c r="AC18" s="213">
        <f>CapEx!AC52-CapEx!AC44</f>
        <v>0</v>
      </c>
      <c r="AD18" s="213">
        <f>CapEx!AD52-CapEx!AD44</f>
        <v>0</v>
      </c>
      <c r="AE18" s="213">
        <f>CapEx!AE52-CapEx!AE44</f>
        <v>0</v>
      </c>
      <c r="AF18" s="213">
        <f>CapEx!AF52-CapEx!AF44</f>
        <v>0</v>
      </c>
      <c r="AG18" s="213">
        <f>CapEx!AG52-CapEx!AG44</f>
        <v>0</v>
      </c>
      <c r="AH18" s="211">
        <f>CapEx!AH52-CapEx!AH44</f>
        <v>0</v>
      </c>
      <c r="AI18" s="212">
        <f>CapEx!AI52-CapEx!AI44</f>
        <v>0</v>
      </c>
      <c r="AJ18" s="213">
        <f>CapEx!AJ52-CapEx!AJ44</f>
        <v>0</v>
      </c>
      <c r="AK18" s="213">
        <f>CapEx!AK52-CapEx!AK44</f>
        <v>0</v>
      </c>
      <c r="AL18" s="213">
        <f>CapEx!AL52-CapEx!AL44</f>
        <v>0</v>
      </c>
      <c r="AM18" s="213">
        <f>CapEx!AM52-CapEx!AM44</f>
        <v>0</v>
      </c>
      <c r="AN18" s="213">
        <f>CapEx!AN52-CapEx!AN44</f>
        <v>0</v>
      </c>
      <c r="AO18" s="213">
        <f>CapEx!AO52-CapEx!AO44</f>
        <v>0</v>
      </c>
      <c r="AP18" s="213">
        <f>CapEx!AP52-CapEx!AP44</f>
        <v>0</v>
      </c>
      <c r="AQ18" s="213">
        <f>CapEx!AQ52-CapEx!AQ44</f>
        <v>0</v>
      </c>
      <c r="AR18" s="213">
        <f>CapEx!AR52-CapEx!AR44</f>
        <v>0</v>
      </c>
      <c r="AS18" s="213">
        <f>CapEx!AS52-CapEx!AS44</f>
        <v>0</v>
      </c>
      <c r="AT18" s="211">
        <f>CapEx!AT52-CapEx!AT44</f>
        <v>0</v>
      </c>
      <c r="AU18" s="212">
        <f>CapEx!AU52-CapEx!AU44</f>
        <v>0</v>
      </c>
      <c r="AV18" s="213">
        <f>CapEx!AV52-CapEx!AV44</f>
        <v>0</v>
      </c>
      <c r="AW18" s="213">
        <f>CapEx!AW52-CapEx!AW44</f>
        <v>0</v>
      </c>
      <c r="AX18" s="213">
        <f>CapEx!AX52-CapEx!AX44</f>
        <v>0</v>
      </c>
      <c r="AY18" s="213">
        <f>CapEx!AY52-CapEx!AY44</f>
        <v>0</v>
      </c>
      <c r="AZ18" s="213">
        <f>CapEx!AZ52-CapEx!AZ44</f>
        <v>0</v>
      </c>
      <c r="BA18" s="213">
        <f>CapEx!BA52-CapEx!BA44</f>
        <v>0</v>
      </c>
      <c r="BB18" s="213">
        <f>CapEx!BB52-CapEx!BB44</f>
        <v>0</v>
      </c>
      <c r="BC18" s="213">
        <f>CapEx!BC52-CapEx!BC44</f>
        <v>0</v>
      </c>
      <c r="BD18" s="213">
        <f>CapEx!BD52-CapEx!BD44</f>
        <v>0</v>
      </c>
      <c r="BE18" s="213">
        <f>CapEx!BE52-CapEx!BE44</f>
        <v>0</v>
      </c>
      <c r="BF18" s="211">
        <f>CapEx!BF52-CapEx!BF44</f>
        <v>0</v>
      </c>
      <c r="BG18" s="212">
        <f>CapEx!BG52-CapEx!BG44</f>
        <v>0</v>
      </c>
      <c r="BH18" s="213">
        <f>CapEx!BH52-CapEx!BH44</f>
        <v>0</v>
      </c>
      <c r="BI18" s="213">
        <f>CapEx!BI52-CapEx!BI44</f>
        <v>0</v>
      </c>
      <c r="BJ18" s="213">
        <f>CapEx!BJ52-CapEx!BJ44</f>
        <v>0</v>
      </c>
      <c r="BK18" s="213">
        <f>CapEx!BK52-CapEx!BK44</f>
        <v>0</v>
      </c>
      <c r="BL18" s="213">
        <f>CapEx!BL52-CapEx!BL44</f>
        <v>0</v>
      </c>
      <c r="BM18" s="213">
        <f>CapEx!BM52-CapEx!BM44</f>
        <v>0</v>
      </c>
      <c r="BN18" s="213">
        <f>CapEx!BN52-CapEx!BN44</f>
        <v>0</v>
      </c>
      <c r="BO18" s="213">
        <f>CapEx!BO52-CapEx!BO44</f>
        <v>0</v>
      </c>
      <c r="BP18" s="213">
        <f>CapEx!BP52-CapEx!BP44</f>
        <v>-50</v>
      </c>
      <c r="BQ18" s="213">
        <f>CapEx!BQ52-CapEx!BQ44</f>
        <v>0</v>
      </c>
      <c r="BR18" s="211">
        <f>CapEx!BR52-CapEx!BR44</f>
        <v>0</v>
      </c>
    </row>
    <row r="19" spans="1:70" s="14" customFormat="1" ht="13.2" x14ac:dyDescent="0.3">
      <c r="A19" s="13"/>
      <c r="B19" s="5"/>
      <c r="C19" s="241" t="s">
        <v>204</v>
      </c>
      <c r="E19" s="225">
        <f t="shared" si="1"/>
        <v>50</v>
      </c>
      <c r="F19" s="225">
        <f t="shared" si="2"/>
        <v>50</v>
      </c>
      <c r="G19" s="225">
        <f t="shared" si="3"/>
        <v>50</v>
      </c>
      <c r="H19" s="225">
        <f t="shared" si="4"/>
        <v>50</v>
      </c>
      <c r="I19" s="225">
        <f t="shared" si="5"/>
        <v>0</v>
      </c>
      <c r="J19" s="16"/>
      <c r="K19" s="226">
        <f>SUM(K16:K18)</f>
        <v>36</v>
      </c>
      <c r="L19" s="226">
        <f t="shared" ref="L19:AA19" si="10">SUM(L16:L18)</f>
        <v>32</v>
      </c>
      <c r="M19" s="226">
        <f t="shared" si="10"/>
        <v>78</v>
      </c>
      <c r="N19" s="226">
        <f t="shared" si="10"/>
        <v>74</v>
      </c>
      <c r="O19" s="226">
        <f t="shared" si="10"/>
        <v>70</v>
      </c>
      <c r="P19" s="226">
        <f t="shared" si="10"/>
        <v>158.85714285714286</v>
      </c>
      <c r="Q19" s="226">
        <f t="shared" si="10"/>
        <v>147.71428571428572</v>
      </c>
      <c r="R19" s="226">
        <f t="shared" si="10"/>
        <v>136.57142857142856</v>
      </c>
      <c r="S19" s="226">
        <f t="shared" si="10"/>
        <v>125.42857142857143</v>
      </c>
      <c r="T19" s="226">
        <f t="shared" si="10"/>
        <v>114.28571428571428</v>
      </c>
      <c r="U19" s="226">
        <f t="shared" si="10"/>
        <v>107.14285714285714</v>
      </c>
      <c r="V19" s="225">
        <f t="shared" si="10"/>
        <v>50</v>
      </c>
      <c r="W19" s="226">
        <f t="shared" si="10"/>
        <v>50</v>
      </c>
      <c r="X19" s="226">
        <f t="shared" si="10"/>
        <v>50</v>
      </c>
      <c r="Y19" s="226">
        <f t="shared" si="10"/>
        <v>50</v>
      </c>
      <c r="Z19" s="226">
        <f t="shared" si="10"/>
        <v>50</v>
      </c>
      <c r="AA19" s="226">
        <f t="shared" si="10"/>
        <v>50</v>
      </c>
      <c r="AB19" s="226">
        <f>SUM(AB16:AB18)</f>
        <v>50</v>
      </c>
      <c r="AC19" s="226">
        <f>SUM(AC16:AC18)</f>
        <v>50</v>
      </c>
      <c r="AD19" s="226">
        <f t="shared" ref="AD19" si="11">SUM(AD16:AD18)</f>
        <v>50</v>
      </c>
      <c r="AE19" s="226">
        <f>SUM(AE16:AE18)</f>
        <v>50</v>
      </c>
      <c r="AF19" s="226">
        <f t="shared" ref="AF19:BR19" si="12">SUM(AF16:AF18)</f>
        <v>50</v>
      </c>
      <c r="AG19" s="226">
        <f t="shared" si="12"/>
        <v>50</v>
      </c>
      <c r="AH19" s="225">
        <f t="shared" si="12"/>
        <v>50</v>
      </c>
      <c r="AI19" s="226">
        <f t="shared" si="12"/>
        <v>50</v>
      </c>
      <c r="AJ19" s="226">
        <f t="shared" si="12"/>
        <v>50</v>
      </c>
      <c r="AK19" s="226">
        <f t="shared" si="12"/>
        <v>50</v>
      </c>
      <c r="AL19" s="226">
        <f t="shared" si="12"/>
        <v>50</v>
      </c>
      <c r="AM19" s="226">
        <f t="shared" si="12"/>
        <v>50</v>
      </c>
      <c r="AN19" s="226">
        <f t="shared" si="12"/>
        <v>50</v>
      </c>
      <c r="AO19" s="226">
        <f t="shared" si="12"/>
        <v>50</v>
      </c>
      <c r="AP19" s="226">
        <f t="shared" si="12"/>
        <v>50</v>
      </c>
      <c r="AQ19" s="226">
        <f t="shared" si="12"/>
        <v>50</v>
      </c>
      <c r="AR19" s="226">
        <f t="shared" si="12"/>
        <v>50</v>
      </c>
      <c r="AS19" s="226">
        <f t="shared" si="12"/>
        <v>50</v>
      </c>
      <c r="AT19" s="225">
        <f t="shared" si="12"/>
        <v>50</v>
      </c>
      <c r="AU19" s="226">
        <f t="shared" si="12"/>
        <v>50</v>
      </c>
      <c r="AV19" s="226">
        <f t="shared" si="12"/>
        <v>50</v>
      </c>
      <c r="AW19" s="226">
        <f t="shared" si="12"/>
        <v>50</v>
      </c>
      <c r="AX19" s="226">
        <f t="shared" si="12"/>
        <v>50</v>
      </c>
      <c r="AY19" s="226">
        <f t="shared" si="12"/>
        <v>50</v>
      </c>
      <c r="AZ19" s="226">
        <f t="shared" si="12"/>
        <v>50</v>
      </c>
      <c r="BA19" s="226">
        <f t="shared" si="12"/>
        <v>50</v>
      </c>
      <c r="BB19" s="226">
        <f t="shared" si="12"/>
        <v>50</v>
      </c>
      <c r="BC19" s="226">
        <f t="shared" si="12"/>
        <v>50</v>
      </c>
      <c r="BD19" s="226">
        <f t="shared" si="12"/>
        <v>50</v>
      </c>
      <c r="BE19" s="226">
        <f t="shared" si="12"/>
        <v>50</v>
      </c>
      <c r="BF19" s="225">
        <f t="shared" si="12"/>
        <v>50</v>
      </c>
      <c r="BG19" s="226">
        <f t="shared" si="12"/>
        <v>50</v>
      </c>
      <c r="BH19" s="226">
        <f t="shared" si="12"/>
        <v>50</v>
      </c>
      <c r="BI19" s="226">
        <f t="shared" si="12"/>
        <v>50</v>
      </c>
      <c r="BJ19" s="226">
        <f t="shared" si="12"/>
        <v>50</v>
      </c>
      <c r="BK19" s="226">
        <f t="shared" si="12"/>
        <v>50</v>
      </c>
      <c r="BL19" s="226">
        <f t="shared" si="12"/>
        <v>50</v>
      </c>
      <c r="BM19" s="226">
        <f t="shared" si="12"/>
        <v>50</v>
      </c>
      <c r="BN19" s="226">
        <f t="shared" si="12"/>
        <v>50</v>
      </c>
      <c r="BO19" s="226">
        <f t="shared" si="12"/>
        <v>50</v>
      </c>
      <c r="BP19" s="226">
        <f t="shared" si="12"/>
        <v>0</v>
      </c>
      <c r="BQ19" s="226">
        <f t="shared" si="12"/>
        <v>0</v>
      </c>
      <c r="BR19" s="225">
        <f t="shared" si="12"/>
        <v>0</v>
      </c>
    </row>
    <row r="20" spans="1:70" s="197" customFormat="1" ht="13.2" x14ac:dyDescent="0.3">
      <c r="A20" s="13"/>
      <c r="B20" s="5"/>
      <c r="C20" s="175" t="s">
        <v>68</v>
      </c>
      <c r="D20" s="242"/>
      <c r="E20" s="222">
        <f ca="1">V20</f>
        <v>1125.1343625525999</v>
      </c>
      <c r="F20" s="222">
        <f ca="1">AH20</f>
        <v>1422.1149465398018</v>
      </c>
      <c r="G20" s="222">
        <f ca="1">AT20</f>
        <v>1865.7421287511725</v>
      </c>
      <c r="H20" s="222">
        <f ca="1">BF20</f>
        <v>2405.3888893958074</v>
      </c>
      <c r="I20" s="222">
        <f ca="1">BR20</f>
        <v>3057.7908509024855</v>
      </c>
      <c r="J20" s="199"/>
      <c r="K20" s="223">
        <f t="shared" ref="K20:AO20" ca="1" si="13">SUM(K9,K19:K19)</f>
        <v>807.66497058111099</v>
      </c>
      <c r="L20" s="223">
        <f t="shared" ca="1" si="13"/>
        <v>1030.3786561449367</v>
      </c>
      <c r="M20" s="223">
        <f t="shared" ca="1" si="13"/>
        <v>1106.0796212492792</v>
      </c>
      <c r="N20" s="223">
        <f t="shared" ca="1" si="13"/>
        <v>1107.1635200597245</v>
      </c>
      <c r="O20" s="223">
        <f t="shared" ca="1" si="13"/>
        <v>1108.2829349965859</v>
      </c>
      <c r="P20" s="223">
        <f t="shared" ca="1" si="13"/>
        <v>1202.2952571459116</v>
      </c>
      <c r="Q20" s="223">
        <f t="shared" ca="1" si="13"/>
        <v>1196.3435936151247</v>
      </c>
      <c r="R20" s="223">
        <f t="shared" ca="1" si="13"/>
        <v>1190.4281961165957</v>
      </c>
      <c r="S20" s="223">
        <f t="shared" ca="1" si="13"/>
        <v>1184.5493181227223</v>
      </c>
      <c r="T20" s="223">
        <f t="shared" ca="1" si="13"/>
        <v>1178.7072148782436</v>
      </c>
      <c r="U20" s="223">
        <f t="shared" ca="1" si="13"/>
        <v>1176.9021434126369</v>
      </c>
      <c r="V20" s="222">
        <f t="shared" ca="1" si="13"/>
        <v>1125.1343625525999</v>
      </c>
      <c r="W20" s="223">
        <f t="shared" ca="1" si="13"/>
        <v>1130.5469900774833</v>
      </c>
      <c r="X20" s="223">
        <f t="shared" ca="1" si="13"/>
        <v>1135.9974313033763</v>
      </c>
      <c r="Y20" s="223">
        <f t="shared" ca="1" si="13"/>
        <v>1145.4044171845387</v>
      </c>
      <c r="Z20" s="223">
        <f t="shared" ca="1" si="13"/>
        <v>1173.546100621043</v>
      </c>
      <c r="AA20" s="223">
        <f t="shared" ca="1" si="13"/>
        <v>1202.3264533079027</v>
      </c>
      <c r="AB20" s="223">
        <f ca="1">SUM(AB9,AB19:AB19)</f>
        <v>1231.7506898808422</v>
      </c>
      <c r="AC20" s="223">
        <f ca="1">SUM(AC9,AC19:AC19)</f>
        <v>1261.8240663664519</v>
      </c>
      <c r="AD20" s="223">
        <f t="shared" ca="1" si="13"/>
        <v>1292.5518805040654</v>
      </c>
      <c r="AE20" s="223">
        <f t="shared" ca="1" si="13"/>
        <v>1323.9394720700957</v>
      </c>
      <c r="AF20" s="223">
        <f t="shared" ca="1" si="13"/>
        <v>1355.9922232048571</v>
      </c>
      <c r="AG20" s="223">
        <f t="shared" ca="1" si="13"/>
        <v>1388.7155587418893</v>
      </c>
      <c r="AH20" s="222">
        <f t="shared" ca="1" si="13"/>
        <v>1422.1149465398018</v>
      </c>
      <c r="AI20" s="223">
        <f t="shared" ca="1" si="13"/>
        <v>1455.2002262522435</v>
      </c>
      <c r="AJ20" s="223">
        <f t="shared" ca="1" si="13"/>
        <v>1488.9726243580881</v>
      </c>
      <c r="AK20" s="223">
        <f t="shared" ca="1" si="13"/>
        <v>1523.4377398077138</v>
      </c>
      <c r="AL20" s="223">
        <f t="shared" ca="1" si="13"/>
        <v>1558.6012159295381</v>
      </c>
      <c r="AM20" s="223">
        <f t="shared" ca="1" si="13"/>
        <v>1594.4687407747558</v>
      </c>
      <c r="AN20" s="223">
        <f t="shared" ca="1" si="13"/>
        <v>1631.0460474647111</v>
      </c>
      <c r="AO20" s="223">
        <f t="shared" ca="1" si="13"/>
        <v>1668.3389145409333</v>
      </c>
      <c r="AP20" s="223">
        <f ca="1">SUM(AP9,AP19:AP19)</f>
        <v>1706.3531663178449</v>
      </c>
      <c r="AQ20" s="223">
        <f t="shared" ref="AQ20:BR20" ca="1" si="14">SUM(AQ9,AQ19:AQ19)</f>
        <v>1745.0946732381678</v>
      </c>
      <c r="AR20" s="223">
        <f t="shared" ca="1" si="14"/>
        <v>1784.5693522310517</v>
      </c>
      <c r="AS20" s="223">
        <f t="shared" ca="1" si="14"/>
        <v>1824.7831670729354</v>
      </c>
      <c r="AT20" s="222">
        <f t="shared" ca="1" si="14"/>
        <v>1865.7421287511725</v>
      </c>
      <c r="AU20" s="223">
        <f t="shared" ca="1" si="14"/>
        <v>1906.4326043179326</v>
      </c>
      <c r="AV20" s="223">
        <f t="shared" ca="1" si="14"/>
        <v>1947.8803917969078</v>
      </c>
      <c r="AW20" s="223">
        <f t="shared" ca="1" si="14"/>
        <v>1990.0916460178396</v>
      </c>
      <c r="AX20" s="223">
        <f ca="1">SUM(AX9,AX19:AX19)</f>
        <v>2033.0725705038892</v>
      </c>
      <c r="AY20" s="223">
        <f t="shared" ca="1" si="14"/>
        <v>2076.829417849372</v>
      </c>
      <c r="AZ20" s="223">
        <f t="shared" ca="1" si="14"/>
        <v>2121.368490100383</v>
      </c>
      <c r="BA20" s="223">
        <f t="shared" ca="1" si="14"/>
        <v>2166.6961391383261</v>
      </c>
      <c r="BB20" s="223">
        <f t="shared" ca="1" si="14"/>
        <v>2212.8187670663751</v>
      </c>
      <c r="BC20" s="223">
        <f t="shared" ca="1" si="14"/>
        <v>2259.7428265988915</v>
      </c>
      <c r="BD20" s="223">
        <f t="shared" ca="1" si="14"/>
        <v>2307.4748214538095</v>
      </c>
      <c r="BE20" s="223">
        <f t="shared" ca="1" si="14"/>
        <v>2356.0213067480267</v>
      </c>
      <c r="BF20" s="222">
        <f t="shared" ca="1" si="14"/>
        <v>2405.3888893958074</v>
      </c>
      <c r="BG20" s="223">
        <f t="shared" ca="1" si="14"/>
        <v>2454.5398933105521</v>
      </c>
      <c r="BH20" s="223">
        <f t="shared" ca="1" si="14"/>
        <v>2504.5253654083622</v>
      </c>
      <c r="BI20" s="223">
        <f t="shared" ca="1" si="14"/>
        <v>2555.3520704165931</v>
      </c>
      <c r="BJ20" s="223">
        <f t="shared" ca="1" si="14"/>
        <v>2607.0268264842571</v>
      </c>
      <c r="BK20" s="223">
        <f t="shared" ca="1" si="14"/>
        <v>2659.5565055958727</v>
      </c>
      <c r="BL20" s="223">
        <f t="shared" ca="1" si="14"/>
        <v>2712.9480339884808</v>
      </c>
      <c r="BM20" s="223">
        <f t="shared" ca="1" si="14"/>
        <v>2776.2083925718362</v>
      </c>
      <c r="BN20" s="223">
        <f t="shared" ca="1" si="14"/>
        <v>2831.3446173518155</v>
      </c>
      <c r="BO20" s="223">
        <f t="shared" ca="1" si="14"/>
        <v>2887.3637998570434</v>
      </c>
      <c r="BP20" s="223">
        <f t="shared" ca="1" si="14"/>
        <v>2941.273087568793</v>
      </c>
      <c r="BQ20" s="223">
        <f t="shared" ca="1" si="14"/>
        <v>2999.0796843541489</v>
      </c>
      <c r="BR20" s="222">
        <f t="shared" ca="1" si="14"/>
        <v>3057.7908509024855</v>
      </c>
    </row>
    <row r="21" spans="1:70" s="14" customFormat="1" ht="13.2" x14ac:dyDescent="0.3">
      <c r="A21" s="13"/>
      <c r="B21" s="5"/>
      <c r="C21" s="185" t="s">
        <v>183</v>
      </c>
      <c r="E21" s="211">
        <f ca="1">V21</f>
        <v>595.71763107372067</v>
      </c>
      <c r="F21" s="211">
        <f ca="1">AH21</f>
        <v>644.05680497345634</v>
      </c>
      <c r="G21" s="211">
        <f ca="1">AT21</f>
        <v>696.31843409597468</v>
      </c>
      <c r="H21" s="211">
        <f ca="1">BF21</f>
        <v>752.82080387591486</v>
      </c>
      <c r="I21" s="211">
        <f ca="1">BR21</f>
        <v>813.90802684144353</v>
      </c>
      <c r="J21" s="210"/>
      <c r="K21" s="212">
        <f ca="1">SUM(Credit!K27:K28)</f>
        <v>364.25391425741242</v>
      </c>
      <c r="L21" s="213">
        <f ca="1">SUM(Credit!L27:L28)</f>
        <v>539.17121961801956</v>
      </c>
      <c r="M21" s="213">
        <f ca="1">SUM(Credit!M27:M28)</f>
        <v>561.85941704042034</v>
      </c>
      <c r="N21" s="213">
        <f ca="1">SUM(Credit!N27:N28)</f>
        <v>565.52434776978271</v>
      </c>
      <c r="O21" s="213">
        <f ca="1">SUM(Credit!O27:O28)</f>
        <v>569.21318433189197</v>
      </c>
      <c r="P21" s="213">
        <f ca="1">SUM(Credit!P27:P28)</f>
        <v>572.92608266116588</v>
      </c>
      <c r="Q21" s="213">
        <f ca="1">SUM(Credit!Q27:Q28)</f>
        <v>576.66319970916061</v>
      </c>
      <c r="R21" s="213">
        <f ca="1">SUM(Credit!R27:R28)</f>
        <v>580.42469345120548</v>
      </c>
      <c r="S21" s="213">
        <f ca="1">SUM(Credit!S27:S28)</f>
        <v>584.21072289308108</v>
      </c>
      <c r="T21" s="213">
        <f ca="1">SUM(Credit!T27:T28)</f>
        <v>588.02144807774027</v>
      </c>
      <c r="U21" s="213">
        <f ca="1">SUM(Credit!U27:U28)</f>
        <v>591.85703009207418</v>
      </c>
      <c r="V21" s="211">
        <f ca="1">SUM(Credit!V27:V28)</f>
        <v>595.71763107372067</v>
      </c>
      <c r="W21" s="212">
        <f ca="1">SUM(Credit!W27:W28)</f>
        <v>599.60341421791964</v>
      </c>
      <c r="X21" s="213">
        <f ca="1">SUM(Credit!X27:X28)</f>
        <v>603.51454378441008</v>
      </c>
      <c r="Y21" s="213">
        <f ca="1">SUM(Credit!Y27:Y28)</f>
        <v>607.45118510437464</v>
      </c>
      <c r="Z21" s="213">
        <f ca="1">SUM(Credit!Z27:Z28)</f>
        <v>611.41350458742852</v>
      </c>
      <c r="AA21" s="213">
        <f ca="1">SUM(Credit!AA27:AA28)</f>
        <v>615.40166972865347</v>
      </c>
      <c r="AB21" s="213">
        <f ca="1">SUM(Credit!AB27:AB28)</f>
        <v>619.41584911567816</v>
      </c>
      <c r="AC21" s="213">
        <f ca="1">SUM(Credit!AC27:AC28)</f>
        <v>623.45621243580536</v>
      </c>
      <c r="AD21" s="213">
        <f ca="1">SUM(Credit!AD27:AD28)</f>
        <v>627.52293048318381</v>
      </c>
      <c r="AE21" s="213">
        <f ca="1">SUM(Credit!AE27:AE28)</f>
        <v>631.61617516602939</v>
      </c>
      <c r="AF21" s="213">
        <f ca="1">SUM(Credit!AF27:AF28)</f>
        <v>635.73611951389057</v>
      </c>
      <c r="AG21" s="213">
        <f ca="1">SUM(Credit!AG27:AG28)</f>
        <v>639.8829376849643</v>
      </c>
      <c r="AH21" s="211">
        <f ca="1">SUM(Credit!AH27:AH28)</f>
        <v>644.05680497345634</v>
      </c>
      <c r="AI21" s="212">
        <f ca="1">SUM(Credit!AI27:AI28)</f>
        <v>648.2578978169928</v>
      </c>
      <c r="AJ21" s="213">
        <f ca="1">SUM(Credit!AJ27:AJ28)</f>
        <v>652.48639380407769</v>
      </c>
      <c r="AK21" s="213">
        <f ca="1">SUM(Credit!AK27:AK28)</f>
        <v>656.74247168160002</v>
      </c>
      <c r="AL21" s="213">
        <f ca="1">SUM(Credit!AL27:AL28)</f>
        <v>661.02631136239006</v>
      </c>
      <c r="AM21" s="213">
        <f ca="1">SUM(Credit!AM27:AM28)</f>
        <v>665.33809393282411</v>
      </c>
      <c r="AN21" s="213">
        <f ca="1">SUM(Credit!AN27:AN28)</f>
        <v>669.67800166047982</v>
      </c>
      <c r="AO21" s="213">
        <f ca="1">SUM(Credit!AO27:AO28)</f>
        <v>674.04621800184066</v>
      </c>
      <c r="AP21" s="213">
        <f ca="1">SUM(Credit!AP27:AP28)</f>
        <v>678.4429276100517</v>
      </c>
      <c r="AQ21" s="213">
        <f ca="1">SUM(Credit!AQ27:AQ28)</f>
        <v>682.86831634272414</v>
      </c>
      <c r="AR21" s="213">
        <f ca="1">SUM(Credit!AR27:AR28)</f>
        <v>687.32257126979323</v>
      </c>
      <c r="AS21" s="213">
        <f ca="1">SUM(Credit!AS27:AS28)</f>
        <v>691.80588068142447</v>
      </c>
      <c r="AT21" s="211">
        <f ca="1">SUM(Credit!AT27:AT28)</f>
        <v>696.31843409597468</v>
      </c>
      <c r="AU21" s="212">
        <f ca="1">SUM(Credit!AU27:AU28)</f>
        <v>700.86042226800214</v>
      </c>
      <c r="AV21" s="213">
        <f ca="1">SUM(Credit!AV27:AV28)</f>
        <v>705.43203719633073</v>
      </c>
      <c r="AW21" s="213">
        <f ca="1">SUM(Credit!AW27:AW28)</f>
        <v>710.03347213216534</v>
      </c>
      <c r="AX21" s="213">
        <f ca="1">SUM(Credit!AX27:AX28)</f>
        <v>714.66492158726248</v>
      </c>
      <c r="AY21" s="213">
        <f ca="1">SUM(Credit!AY27:AY28)</f>
        <v>719.32658134215103</v>
      </c>
      <c r="AZ21" s="213">
        <f ca="1">SUM(Credit!AZ27:AZ28)</f>
        <v>724.01864845440934</v>
      </c>
      <c r="BA21" s="213">
        <f ca="1">SUM(Credit!BA27:BA28)</f>
        <v>728.7413212669951</v>
      </c>
      <c r="BB21" s="213">
        <f ca="1">SUM(Credit!BB27:BB28)</f>
        <v>733.49479941662844</v>
      </c>
      <c r="BC21" s="213">
        <f ca="1">SUM(Credit!BC27:BC28)</f>
        <v>738.27928384223389</v>
      </c>
      <c r="BD21" s="213">
        <f ca="1">SUM(Credit!BD27:BD28)</f>
        <v>743.09497679343076</v>
      </c>
      <c r="BE21" s="213">
        <f ca="1">SUM(Credit!BE27:BE28)</f>
        <v>747.94208183908529</v>
      </c>
      <c r="BF21" s="211">
        <f ca="1">SUM(Credit!BF27:BF28)</f>
        <v>752.82080387591486</v>
      </c>
      <c r="BG21" s="212">
        <f ca="1">SUM(Credit!BG27:BG28)</f>
        <v>757.73134913715012</v>
      </c>
      <c r="BH21" s="213">
        <f ca="1">SUM(Credit!BH27:BH28)</f>
        <v>762.67392520125145</v>
      </c>
      <c r="BI21" s="213">
        <f ca="1">SUM(Credit!BI27:BI28)</f>
        <v>767.6487410006855</v>
      </c>
      <c r="BJ21" s="213">
        <f ca="1">SUM(Credit!BJ27:BJ28)</f>
        <v>772.6560068307557</v>
      </c>
      <c r="BK21" s="213">
        <f ca="1">SUM(Credit!BK27:BK28)</f>
        <v>777.69593435849322</v>
      </c>
      <c r="BL21" s="213">
        <f ca="1">SUM(Credit!BL27:BL28)</f>
        <v>782.76873663160256</v>
      </c>
      <c r="BM21" s="213">
        <f ca="1">SUM(Credit!BM27:BM28)</f>
        <v>787.87462808746989</v>
      </c>
      <c r="BN21" s="213">
        <f ca="1">SUM(Credit!BN27:BN28)</f>
        <v>793.0138245622262</v>
      </c>
      <c r="BO21" s="213">
        <f ca="1">SUM(Credit!BO27:BO28)</f>
        <v>798.18654329987123</v>
      </c>
      <c r="BP21" s="213">
        <f ca="1">SUM(Credit!BP27:BP28)</f>
        <v>803.39300296145734</v>
      </c>
      <c r="BQ21" s="213">
        <f ca="1">SUM(Credit!BQ27:BQ28)</f>
        <v>808.63342363433253</v>
      </c>
      <c r="BR21" s="211">
        <f ca="1">SUM(Credit!BR27:BR28)</f>
        <v>813.90802684144353</v>
      </c>
    </row>
    <row r="22" spans="1:70" s="14" customFormat="1" ht="13.2" x14ac:dyDescent="0.3">
      <c r="A22" s="13"/>
      <c r="B22" s="5"/>
      <c r="C22" s="185" t="s">
        <v>205</v>
      </c>
      <c r="E22" s="211">
        <f ca="1">V22</f>
        <v>161.4895914706762</v>
      </c>
      <c r="F22" s="211">
        <f ca="1">AH22</f>
        <v>0</v>
      </c>
      <c r="G22" s="211">
        <f ca="1">AT22</f>
        <v>0</v>
      </c>
      <c r="H22" s="211">
        <f ca="1">BF22</f>
        <v>0</v>
      </c>
      <c r="I22" s="211">
        <f ca="1">BR22</f>
        <v>0</v>
      </c>
      <c r="J22" s="210"/>
      <c r="K22" s="212">
        <f ca="1">Credit!K45</f>
        <v>253.96897399875942</v>
      </c>
      <c r="L22" s="213">
        <f ca="1">Credit!L45</f>
        <v>287.89262513056428</v>
      </c>
      <c r="M22" s="213">
        <f ca="1">Credit!M45</f>
        <v>326.63484085229373</v>
      </c>
      <c r="N22" s="213">
        <f ca="1">Credit!N45</f>
        <v>309.40200160091655</v>
      </c>
      <c r="O22" s="213">
        <f ca="1">Credit!O45</f>
        <v>291.55007657263019</v>
      </c>
      <c r="P22" s="213">
        <f ca="1">Credit!P45</f>
        <v>328.72579086219054</v>
      </c>
      <c r="Q22" s="213">
        <f ca="1">Credit!Q45</f>
        <v>307.10661251505883</v>
      </c>
      <c r="R22" s="213">
        <f ca="1">Credit!R45</f>
        <v>284.83556808985509</v>
      </c>
      <c r="S22" s="213">
        <f ca="1">Credit!S45</f>
        <v>261.90520294024248</v>
      </c>
      <c r="T22" s="213">
        <f ca="1">Credit!T45</f>
        <v>238.30799297624839</v>
      </c>
      <c r="U22" s="213">
        <f ca="1">Credit!U45</f>
        <v>215.63634407233724</v>
      </c>
      <c r="V22" s="211">
        <f ca="1">Credit!V45</f>
        <v>161.4895914706762</v>
      </c>
      <c r="W22" s="212">
        <f ca="1">Credit!W45</f>
        <v>39.279888207615613</v>
      </c>
      <c r="X22" s="213">
        <f ca="1">Credit!X45</f>
        <v>18.022354070212714</v>
      </c>
      <c r="Y22" s="213">
        <f ca="1">Credit!Y45</f>
        <v>0</v>
      </c>
      <c r="Z22" s="213">
        <f ca="1">Credit!Z45</f>
        <v>0</v>
      </c>
      <c r="AA22" s="213">
        <f ca="1">Credit!AA45</f>
        <v>0</v>
      </c>
      <c r="AB22" s="213">
        <f ca="1">Credit!AB45</f>
        <v>0</v>
      </c>
      <c r="AC22" s="213">
        <f ca="1">Credit!AC45</f>
        <v>0</v>
      </c>
      <c r="AD22" s="213">
        <f ca="1">Credit!AD45</f>
        <v>0</v>
      </c>
      <c r="AE22" s="213">
        <f ca="1">Credit!AE45</f>
        <v>0</v>
      </c>
      <c r="AF22" s="213">
        <f ca="1">Credit!AF45</f>
        <v>0</v>
      </c>
      <c r="AG22" s="213">
        <f ca="1">Credit!AG45</f>
        <v>0</v>
      </c>
      <c r="AH22" s="211">
        <f ca="1">Credit!AH45</f>
        <v>0</v>
      </c>
      <c r="AI22" s="212">
        <f ca="1">Credit!AI45</f>
        <v>0</v>
      </c>
      <c r="AJ22" s="213">
        <f ca="1">Credit!AJ45</f>
        <v>0</v>
      </c>
      <c r="AK22" s="213">
        <f ca="1">Credit!AK45</f>
        <v>0</v>
      </c>
      <c r="AL22" s="213">
        <f ca="1">Credit!AL45</f>
        <v>0</v>
      </c>
      <c r="AM22" s="213">
        <f ca="1">Credit!AM45</f>
        <v>0</v>
      </c>
      <c r="AN22" s="213">
        <f ca="1">Credit!AN45</f>
        <v>0</v>
      </c>
      <c r="AO22" s="213">
        <f ca="1">Credit!AO45</f>
        <v>0</v>
      </c>
      <c r="AP22" s="213">
        <f ca="1">Credit!AP45</f>
        <v>0</v>
      </c>
      <c r="AQ22" s="213">
        <f ca="1">Credit!AQ45</f>
        <v>0</v>
      </c>
      <c r="AR22" s="213">
        <f ca="1">Credit!AR45</f>
        <v>0</v>
      </c>
      <c r="AS22" s="213">
        <f ca="1">Credit!AS45</f>
        <v>0</v>
      </c>
      <c r="AT22" s="211">
        <f ca="1">Credit!AT45</f>
        <v>0</v>
      </c>
      <c r="AU22" s="212">
        <f ca="1">Credit!AU45</f>
        <v>0</v>
      </c>
      <c r="AV22" s="213">
        <f ca="1">Credit!AV45</f>
        <v>0</v>
      </c>
      <c r="AW22" s="213">
        <f ca="1">Credit!AW45</f>
        <v>0</v>
      </c>
      <c r="AX22" s="213">
        <f ca="1">Credit!AX45</f>
        <v>0</v>
      </c>
      <c r="AY22" s="213">
        <f ca="1">Credit!AY45</f>
        <v>0</v>
      </c>
      <c r="AZ22" s="213">
        <f ca="1">Credit!AZ45</f>
        <v>0</v>
      </c>
      <c r="BA22" s="213">
        <f ca="1">Credit!BA45</f>
        <v>0</v>
      </c>
      <c r="BB22" s="213">
        <f ca="1">Credit!BB45</f>
        <v>0</v>
      </c>
      <c r="BC22" s="213">
        <f ca="1">Credit!BC45</f>
        <v>0</v>
      </c>
      <c r="BD22" s="213">
        <f ca="1">Credit!BD45</f>
        <v>0</v>
      </c>
      <c r="BE22" s="213">
        <f ca="1">Credit!BE45</f>
        <v>0</v>
      </c>
      <c r="BF22" s="211">
        <f ca="1">Credit!BF45</f>
        <v>0</v>
      </c>
      <c r="BG22" s="212">
        <f ca="1">Credit!BG45</f>
        <v>0</v>
      </c>
      <c r="BH22" s="213">
        <f ca="1">Credit!BH45</f>
        <v>0</v>
      </c>
      <c r="BI22" s="213">
        <f ca="1">Credit!BI45</f>
        <v>0</v>
      </c>
      <c r="BJ22" s="213">
        <f ca="1">Credit!BJ45</f>
        <v>0</v>
      </c>
      <c r="BK22" s="213">
        <f ca="1">Credit!BK45</f>
        <v>0</v>
      </c>
      <c r="BL22" s="213">
        <f ca="1">Credit!BL45</f>
        <v>0</v>
      </c>
      <c r="BM22" s="213">
        <f ca="1">Credit!BM45</f>
        <v>0</v>
      </c>
      <c r="BN22" s="213">
        <f ca="1">Credit!BN45</f>
        <v>0</v>
      </c>
      <c r="BO22" s="213">
        <f ca="1">Credit!BO45</f>
        <v>0</v>
      </c>
      <c r="BP22" s="213">
        <f ca="1">Credit!BP45</f>
        <v>0</v>
      </c>
      <c r="BQ22" s="213">
        <f ca="1">Credit!BQ45</f>
        <v>0</v>
      </c>
      <c r="BR22" s="211">
        <f ca="1">Credit!BR45</f>
        <v>0</v>
      </c>
    </row>
    <row r="23" spans="1:70" s="14" customFormat="1" ht="13.2" x14ac:dyDescent="0.3">
      <c r="A23" s="13"/>
      <c r="B23" s="5"/>
      <c r="C23" s="178" t="s">
        <v>206</v>
      </c>
      <c r="E23" s="215">
        <f t="shared" ref="E23:E25" si="15">V23</f>
        <v>100</v>
      </c>
      <c r="F23" s="215">
        <f t="shared" ref="F23:F25" si="16">AH23</f>
        <v>120</v>
      </c>
      <c r="G23" s="215">
        <f t="shared" ref="G23:G25" si="17">AT23</f>
        <v>120</v>
      </c>
      <c r="H23" s="215">
        <f t="shared" ref="H23:H25" si="18">BF23</f>
        <v>120</v>
      </c>
      <c r="I23" s="215">
        <f t="shared" ref="I23:I25" si="19">BR23</f>
        <v>120</v>
      </c>
      <c r="J23" s="210"/>
      <c r="K23" s="216">
        <f>StartShort+Credit!K9</f>
        <v>100</v>
      </c>
      <c r="L23" s="216">
        <f>Credit!L9+K23</f>
        <v>100</v>
      </c>
      <c r="M23" s="216">
        <f>Credit!M9+L23</f>
        <v>100</v>
      </c>
      <c r="N23" s="216">
        <f>Credit!N9+M23</f>
        <v>100</v>
      </c>
      <c r="O23" s="216">
        <f>Credit!O9+N23</f>
        <v>100</v>
      </c>
      <c r="P23" s="216">
        <f>Credit!P9+O23</f>
        <v>100</v>
      </c>
      <c r="Q23" s="216">
        <f>Credit!Q9+P23</f>
        <v>100</v>
      </c>
      <c r="R23" s="216">
        <f>Credit!R9+Q23</f>
        <v>100</v>
      </c>
      <c r="S23" s="216">
        <f>Credit!S9+R23</f>
        <v>100</v>
      </c>
      <c r="T23" s="216">
        <f>Credit!T9+S23</f>
        <v>100</v>
      </c>
      <c r="U23" s="216">
        <f>Credit!U9+T23</f>
        <v>100</v>
      </c>
      <c r="V23" s="215">
        <f>Credit!V9+U23</f>
        <v>100</v>
      </c>
      <c r="W23" s="216">
        <f>Credit!W9+V23</f>
        <v>120</v>
      </c>
      <c r="X23" s="216">
        <f>Credit!X9+W23</f>
        <v>120</v>
      </c>
      <c r="Y23" s="216">
        <f>Credit!Y9+X23</f>
        <v>120</v>
      </c>
      <c r="Z23" s="216">
        <f>Credit!Z9+Y23</f>
        <v>120</v>
      </c>
      <c r="AA23" s="216">
        <f>Credit!AA9+Z23</f>
        <v>120</v>
      </c>
      <c r="AB23" s="216">
        <f>Credit!AB9+AA23</f>
        <v>120</v>
      </c>
      <c r="AC23" s="216">
        <f>Credit!AC9+AB23</f>
        <v>120</v>
      </c>
      <c r="AD23" s="216">
        <f>Credit!AD9+AC23</f>
        <v>120</v>
      </c>
      <c r="AE23" s="216">
        <f>Credit!AE9+AD23</f>
        <v>120</v>
      </c>
      <c r="AF23" s="216">
        <f>Credit!AF9+AE23</f>
        <v>120</v>
      </c>
      <c r="AG23" s="216">
        <f>Credit!AG9+AF23</f>
        <v>120</v>
      </c>
      <c r="AH23" s="215">
        <f>Credit!AH9+AG23</f>
        <v>120</v>
      </c>
      <c r="AI23" s="216">
        <f>Credit!AI9+AH23</f>
        <v>120</v>
      </c>
      <c r="AJ23" s="216">
        <f>Credit!AJ9+AI23</f>
        <v>120</v>
      </c>
      <c r="AK23" s="216">
        <f>Credit!AK9+AJ23</f>
        <v>120</v>
      </c>
      <c r="AL23" s="216">
        <f>Credit!AL9+AK23</f>
        <v>120</v>
      </c>
      <c r="AM23" s="216">
        <f>Credit!AM9+AL23</f>
        <v>120</v>
      </c>
      <c r="AN23" s="216">
        <f>Credit!AN9+AM23</f>
        <v>120</v>
      </c>
      <c r="AO23" s="216">
        <f>Credit!AO9+AN23</f>
        <v>120</v>
      </c>
      <c r="AP23" s="216">
        <f>Credit!AP9+AO23</f>
        <v>120</v>
      </c>
      <c r="AQ23" s="216">
        <f>Credit!AQ9+AP23</f>
        <v>120</v>
      </c>
      <c r="AR23" s="216">
        <f>Credit!AR9+AQ23</f>
        <v>120</v>
      </c>
      <c r="AS23" s="216">
        <f>Credit!AS9+AR23</f>
        <v>120</v>
      </c>
      <c r="AT23" s="215">
        <f>Credit!AT9+AS23</f>
        <v>120</v>
      </c>
      <c r="AU23" s="216">
        <f>Credit!AU9+AT23</f>
        <v>120</v>
      </c>
      <c r="AV23" s="216">
        <f>Credit!AV9+AU23</f>
        <v>120</v>
      </c>
      <c r="AW23" s="216">
        <f>Credit!AW9+AV23</f>
        <v>120</v>
      </c>
      <c r="AX23" s="216">
        <f>Credit!AX9+AW23</f>
        <v>120</v>
      </c>
      <c r="AY23" s="216">
        <f>Credit!AY9+AX23</f>
        <v>120</v>
      </c>
      <c r="AZ23" s="216">
        <f>Credit!AZ9+AY23</f>
        <v>120</v>
      </c>
      <c r="BA23" s="216">
        <f>Credit!BA9+AZ23</f>
        <v>120</v>
      </c>
      <c r="BB23" s="216">
        <f>Credit!BB9+BA23</f>
        <v>120</v>
      </c>
      <c r="BC23" s="216">
        <f>Credit!BC9+BB23</f>
        <v>120</v>
      </c>
      <c r="BD23" s="216">
        <f>Credit!BD9+BC23</f>
        <v>120</v>
      </c>
      <c r="BE23" s="216">
        <f>Credit!BE9+BD23</f>
        <v>120</v>
      </c>
      <c r="BF23" s="215">
        <f>Credit!BF9+BE23</f>
        <v>120</v>
      </c>
      <c r="BG23" s="216">
        <f>Credit!BG9+BF23</f>
        <v>120</v>
      </c>
      <c r="BH23" s="216">
        <f>Credit!BH9+BG23</f>
        <v>120</v>
      </c>
      <c r="BI23" s="216">
        <f>Credit!BI9+BH23</f>
        <v>120</v>
      </c>
      <c r="BJ23" s="216">
        <f>Credit!BJ9+BI23</f>
        <v>120</v>
      </c>
      <c r="BK23" s="216">
        <f>Credit!BK9+BJ23</f>
        <v>120</v>
      </c>
      <c r="BL23" s="216">
        <f>Credit!BL9+BK23</f>
        <v>120</v>
      </c>
      <c r="BM23" s="216">
        <f>Credit!BM9+BL23</f>
        <v>120</v>
      </c>
      <c r="BN23" s="216">
        <f>Credit!BN9+BM23</f>
        <v>120</v>
      </c>
      <c r="BO23" s="216">
        <f>Credit!BO9+BN23</f>
        <v>120</v>
      </c>
      <c r="BP23" s="216">
        <f>Credit!BP9+BO23</f>
        <v>120</v>
      </c>
      <c r="BQ23" s="216">
        <f>Credit!BQ9+BP23</f>
        <v>120</v>
      </c>
      <c r="BR23" s="215">
        <f>Credit!BR9+BQ23</f>
        <v>120</v>
      </c>
    </row>
    <row r="24" spans="1:70" ht="13.2" x14ac:dyDescent="0.3">
      <c r="A24" s="13"/>
      <c r="C24" s="181" t="s">
        <v>207</v>
      </c>
      <c r="D24" s="14"/>
      <c r="E24" s="217">
        <f ca="1">V24</f>
        <v>857.20722254439693</v>
      </c>
      <c r="F24" s="217">
        <f ca="1">AH24</f>
        <v>764.05680497345634</v>
      </c>
      <c r="G24" s="217">
        <f ca="1">AT24</f>
        <v>816.31843409597468</v>
      </c>
      <c r="H24" s="217">
        <f ca="1">BF24</f>
        <v>872.82080387591486</v>
      </c>
      <c r="I24" s="217">
        <f ca="1">BR24</f>
        <v>933.90802684144353</v>
      </c>
      <c r="J24" s="16"/>
      <c r="K24" s="223">
        <f t="shared" ref="K24:BR24" ca="1" si="20">SUM(K21:K23)</f>
        <v>718.22288825617181</v>
      </c>
      <c r="L24" s="223">
        <f t="shared" ca="1" si="20"/>
        <v>927.06384474858385</v>
      </c>
      <c r="M24" s="223">
        <f t="shared" ca="1" si="20"/>
        <v>988.49425789271413</v>
      </c>
      <c r="N24" s="223">
        <f t="shared" ca="1" si="20"/>
        <v>974.9263493706992</v>
      </c>
      <c r="O24" s="223">
        <f t="shared" ca="1" si="20"/>
        <v>960.76326090452221</v>
      </c>
      <c r="P24" s="223">
        <f t="shared" ca="1" si="20"/>
        <v>1001.6518735233565</v>
      </c>
      <c r="Q24" s="223">
        <f t="shared" ca="1" si="20"/>
        <v>983.76981222421944</v>
      </c>
      <c r="R24" s="223">
        <f t="shared" ca="1" si="20"/>
        <v>965.26026154106057</v>
      </c>
      <c r="S24" s="223">
        <f t="shared" ca="1" si="20"/>
        <v>946.11592583332356</v>
      </c>
      <c r="T24" s="223">
        <f t="shared" ca="1" si="20"/>
        <v>926.3294410539886</v>
      </c>
      <c r="U24" s="223">
        <f t="shared" ca="1" si="20"/>
        <v>907.49337416441142</v>
      </c>
      <c r="V24" s="217">
        <f t="shared" ca="1" si="20"/>
        <v>857.20722254439693</v>
      </c>
      <c r="W24" s="223">
        <f t="shared" ca="1" si="20"/>
        <v>758.88330242553525</v>
      </c>
      <c r="X24" s="223">
        <f t="shared" ca="1" si="20"/>
        <v>741.53689785462279</v>
      </c>
      <c r="Y24" s="223">
        <f t="shared" ca="1" si="20"/>
        <v>727.45118510437464</v>
      </c>
      <c r="Z24" s="223">
        <f t="shared" ca="1" si="20"/>
        <v>731.41350458742852</v>
      </c>
      <c r="AA24" s="223">
        <f t="shared" ca="1" si="20"/>
        <v>735.40166972865347</v>
      </c>
      <c r="AB24" s="223">
        <f t="shared" ca="1" si="20"/>
        <v>739.41584911567816</v>
      </c>
      <c r="AC24" s="223">
        <f t="shared" ca="1" si="20"/>
        <v>743.45621243580536</v>
      </c>
      <c r="AD24" s="223">
        <f t="shared" ca="1" si="20"/>
        <v>747.52293048318381</v>
      </c>
      <c r="AE24" s="223">
        <f t="shared" ca="1" si="20"/>
        <v>751.61617516602939</v>
      </c>
      <c r="AF24" s="223">
        <f t="shared" ca="1" si="20"/>
        <v>755.73611951389057</v>
      </c>
      <c r="AG24" s="223">
        <f t="shared" ca="1" si="20"/>
        <v>759.8829376849643</v>
      </c>
      <c r="AH24" s="217">
        <f t="shared" ca="1" si="20"/>
        <v>764.05680497345634</v>
      </c>
      <c r="AI24" s="223">
        <f t="shared" ca="1" si="20"/>
        <v>768.2578978169928</v>
      </c>
      <c r="AJ24" s="223">
        <f t="shared" ca="1" si="20"/>
        <v>772.48639380407769</v>
      </c>
      <c r="AK24" s="223">
        <f t="shared" ca="1" si="20"/>
        <v>776.74247168160002</v>
      </c>
      <c r="AL24" s="223">
        <f t="shared" ca="1" si="20"/>
        <v>781.02631136239006</v>
      </c>
      <c r="AM24" s="223">
        <f t="shared" ca="1" si="20"/>
        <v>785.33809393282411</v>
      </c>
      <c r="AN24" s="223">
        <f t="shared" ca="1" si="20"/>
        <v>789.67800166047982</v>
      </c>
      <c r="AO24" s="223">
        <f t="shared" ca="1" si="20"/>
        <v>794.04621800184066</v>
      </c>
      <c r="AP24" s="223">
        <f t="shared" ca="1" si="20"/>
        <v>798.4429276100517</v>
      </c>
      <c r="AQ24" s="223">
        <f t="shared" ca="1" si="20"/>
        <v>802.86831634272414</v>
      </c>
      <c r="AR24" s="223">
        <f t="shared" ca="1" si="20"/>
        <v>807.32257126979323</v>
      </c>
      <c r="AS24" s="223">
        <f t="shared" ca="1" si="20"/>
        <v>811.80588068142447</v>
      </c>
      <c r="AT24" s="217">
        <f t="shared" ca="1" si="20"/>
        <v>816.31843409597468</v>
      </c>
      <c r="AU24" s="223">
        <f t="shared" ca="1" si="20"/>
        <v>820.86042226800214</v>
      </c>
      <c r="AV24" s="223">
        <f t="shared" ca="1" si="20"/>
        <v>825.43203719633073</v>
      </c>
      <c r="AW24" s="223">
        <f t="shared" ca="1" si="20"/>
        <v>830.03347213216534</v>
      </c>
      <c r="AX24" s="223">
        <f t="shared" ca="1" si="20"/>
        <v>834.66492158726248</v>
      </c>
      <c r="AY24" s="223">
        <f t="shared" ca="1" si="20"/>
        <v>839.32658134215103</v>
      </c>
      <c r="AZ24" s="223">
        <f t="shared" ca="1" si="20"/>
        <v>844.01864845440934</v>
      </c>
      <c r="BA24" s="223">
        <f t="shared" ca="1" si="20"/>
        <v>848.7413212669951</v>
      </c>
      <c r="BB24" s="223">
        <f t="shared" ca="1" si="20"/>
        <v>853.49479941662844</v>
      </c>
      <c r="BC24" s="223">
        <f t="shared" ca="1" si="20"/>
        <v>858.27928384223389</v>
      </c>
      <c r="BD24" s="223">
        <f t="shared" ca="1" si="20"/>
        <v>863.09497679343076</v>
      </c>
      <c r="BE24" s="223">
        <f t="shared" ca="1" si="20"/>
        <v>867.94208183908529</v>
      </c>
      <c r="BF24" s="217">
        <f t="shared" ca="1" si="20"/>
        <v>872.82080387591486</v>
      </c>
      <c r="BG24" s="223">
        <f t="shared" ca="1" si="20"/>
        <v>877.73134913715012</v>
      </c>
      <c r="BH24" s="223">
        <f t="shared" ca="1" si="20"/>
        <v>882.67392520125145</v>
      </c>
      <c r="BI24" s="223">
        <f t="shared" ca="1" si="20"/>
        <v>887.6487410006855</v>
      </c>
      <c r="BJ24" s="223">
        <f t="shared" ca="1" si="20"/>
        <v>892.6560068307557</v>
      </c>
      <c r="BK24" s="223">
        <f t="shared" ca="1" si="20"/>
        <v>897.69593435849322</v>
      </c>
      <c r="BL24" s="223">
        <f t="shared" ca="1" si="20"/>
        <v>902.76873663160256</v>
      </c>
      <c r="BM24" s="223">
        <f t="shared" ca="1" si="20"/>
        <v>907.87462808746989</v>
      </c>
      <c r="BN24" s="223">
        <f t="shared" ca="1" si="20"/>
        <v>913.0138245622262</v>
      </c>
      <c r="BO24" s="223">
        <f t="shared" ca="1" si="20"/>
        <v>918.18654329987123</v>
      </c>
      <c r="BP24" s="223">
        <f t="shared" ca="1" si="20"/>
        <v>923.39300296145734</v>
      </c>
      <c r="BQ24" s="223">
        <f t="shared" ca="1" si="20"/>
        <v>928.63342363433253</v>
      </c>
      <c r="BR24" s="217">
        <f t="shared" ca="1" si="20"/>
        <v>933.90802684144353</v>
      </c>
    </row>
    <row r="25" spans="1:70" s="14" customFormat="1" ht="13.2" x14ac:dyDescent="0.3">
      <c r="A25" s="13"/>
      <c r="B25" s="5"/>
      <c r="C25" s="243" t="s">
        <v>208</v>
      </c>
      <c r="E25" s="234">
        <f t="shared" si="15"/>
        <v>40</v>
      </c>
      <c r="F25" s="234">
        <f t="shared" si="16"/>
        <v>70</v>
      </c>
      <c r="G25" s="234">
        <f t="shared" si="17"/>
        <v>70</v>
      </c>
      <c r="H25" s="234">
        <f t="shared" si="18"/>
        <v>70</v>
      </c>
      <c r="I25" s="234">
        <f t="shared" si="19"/>
        <v>70</v>
      </c>
      <c r="J25" s="210"/>
      <c r="K25" s="244">
        <f>StartLong+Credit!K10</f>
        <v>15</v>
      </c>
      <c r="L25" s="245">
        <f>Credit!L10+K25</f>
        <v>15</v>
      </c>
      <c r="M25" s="245">
        <f>Credit!M10+L25</f>
        <v>15</v>
      </c>
      <c r="N25" s="245">
        <f>Credit!N10+M25</f>
        <v>15</v>
      </c>
      <c r="O25" s="245">
        <f>Credit!O10+N25</f>
        <v>15</v>
      </c>
      <c r="P25" s="245">
        <f>Credit!P10+O25</f>
        <v>40</v>
      </c>
      <c r="Q25" s="245">
        <f>Credit!Q10+P25</f>
        <v>40</v>
      </c>
      <c r="R25" s="245">
        <f>Credit!R10+Q25</f>
        <v>40</v>
      </c>
      <c r="S25" s="245">
        <f>Credit!S10+R25</f>
        <v>40</v>
      </c>
      <c r="T25" s="245">
        <f>Credit!T10+S25</f>
        <v>40</v>
      </c>
      <c r="U25" s="245">
        <f>Credit!U10+T25</f>
        <v>40</v>
      </c>
      <c r="V25" s="234">
        <f>Credit!V10+U25</f>
        <v>40</v>
      </c>
      <c r="W25" s="244">
        <f>Credit!W10+V25</f>
        <v>70</v>
      </c>
      <c r="X25" s="245">
        <f>Credit!X10+W25</f>
        <v>70</v>
      </c>
      <c r="Y25" s="245">
        <f>Credit!Y10+X25</f>
        <v>70</v>
      </c>
      <c r="Z25" s="245">
        <f>Credit!Z10+Y25</f>
        <v>70</v>
      </c>
      <c r="AA25" s="245">
        <f>Credit!AA10+Z25</f>
        <v>70</v>
      </c>
      <c r="AB25" s="245">
        <f>Credit!AB10+AA25</f>
        <v>70</v>
      </c>
      <c r="AC25" s="245">
        <f>Credit!AC10+AB25</f>
        <v>70</v>
      </c>
      <c r="AD25" s="245">
        <f>Credit!AD10+AC25</f>
        <v>70</v>
      </c>
      <c r="AE25" s="245">
        <f>Credit!AE10+AD25</f>
        <v>70</v>
      </c>
      <c r="AF25" s="245">
        <f>Credit!AF10+AE25</f>
        <v>70</v>
      </c>
      <c r="AG25" s="245">
        <f>Credit!AG10+AF25</f>
        <v>70</v>
      </c>
      <c r="AH25" s="234">
        <f>Credit!AH10+AG25</f>
        <v>70</v>
      </c>
      <c r="AI25" s="244">
        <f>Credit!AI10+AH25</f>
        <v>70</v>
      </c>
      <c r="AJ25" s="245">
        <f>Credit!AJ10+AI25</f>
        <v>70</v>
      </c>
      <c r="AK25" s="245">
        <f>Credit!AK10+AJ25</f>
        <v>70</v>
      </c>
      <c r="AL25" s="245">
        <f>Credit!AL10+AK25</f>
        <v>70</v>
      </c>
      <c r="AM25" s="245">
        <f>Credit!AM10+AL25</f>
        <v>70</v>
      </c>
      <c r="AN25" s="245">
        <f>Credit!AN10+AM25</f>
        <v>70</v>
      </c>
      <c r="AO25" s="245">
        <f>Credit!AO10+AN25</f>
        <v>70</v>
      </c>
      <c r="AP25" s="245">
        <f>Credit!AP10+AO25</f>
        <v>70</v>
      </c>
      <c r="AQ25" s="245">
        <f>Credit!AQ10+AP25</f>
        <v>70</v>
      </c>
      <c r="AR25" s="245">
        <f>Credit!AR10+AQ25</f>
        <v>70</v>
      </c>
      <c r="AS25" s="245">
        <f>Credit!AS10+AR25</f>
        <v>70</v>
      </c>
      <c r="AT25" s="234">
        <f>Credit!AT10+AS25</f>
        <v>70</v>
      </c>
      <c r="AU25" s="244">
        <f>Credit!AU10+AT25</f>
        <v>70</v>
      </c>
      <c r="AV25" s="245">
        <f>Credit!AV10+AU25</f>
        <v>70</v>
      </c>
      <c r="AW25" s="245">
        <f>Credit!AW10+AV25</f>
        <v>70</v>
      </c>
      <c r="AX25" s="245">
        <f>Credit!AX10+AW25</f>
        <v>70</v>
      </c>
      <c r="AY25" s="245">
        <f>Credit!AY10+AX25</f>
        <v>70</v>
      </c>
      <c r="AZ25" s="245">
        <f>Credit!AZ10+AY25</f>
        <v>70</v>
      </c>
      <c r="BA25" s="245">
        <f>Credit!BA10+AZ25</f>
        <v>70</v>
      </c>
      <c r="BB25" s="245">
        <f>Credit!BB10+BA25</f>
        <v>70</v>
      </c>
      <c r="BC25" s="245">
        <f>Credit!BC10+BB25</f>
        <v>70</v>
      </c>
      <c r="BD25" s="245">
        <f>Credit!BD10+BC25</f>
        <v>70</v>
      </c>
      <c r="BE25" s="245">
        <f>Credit!BE10+BD25</f>
        <v>70</v>
      </c>
      <c r="BF25" s="234">
        <f>Credit!BF10+BE25</f>
        <v>70</v>
      </c>
      <c r="BG25" s="244">
        <f>Credit!BG10+BF25</f>
        <v>70</v>
      </c>
      <c r="BH25" s="245">
        <f>Credit!BH10+BG25</f>
        <v>70</v>
      </c>
      <c r="BI25" s="245">
        <f>Credit!BI10+BH25</f>
        <v>70</v>
      </c>
      <c r="BJ25" s="245">
        <f>Credit!BJ10+BI25</f>
        <v>70</v>
      </c>
      <c r="BK25" s="245">
        <f>Credit!BK10+BJ25</f>
        <v>70</v>
      </c>
      <c r="BL25" s="245">
        <f>Credit!BL10+BK25</f>
        <v>70</v>
      </c>
      <c r="BM25" s="245">
        <f>Credit!BM10+BL25</f>
        <v>70</v>
      </c>
      <c r="BN25" s="245">
        <f>Credit!BN10+BM25</f>
        <v>70</v>
      </c>
      <c r="BO25" s="245">
        <f>Credit!BO10+BN25</f>
        <v>70</v>
      </c>
      <c r="BP25" s="245">
        <f>Credit!BP10+BO25</f>
        <v>70</v>
      </c>
      <c r="BQ25" s="245">
        <f>Credit!BQ10+BP25</f>
        <v>70</v>
      </c>
      <c r="BR25" s="234">
        <f>Credit!BR10+BQ25</f>
        <v>70</v>
      </c>
    </row>
    <row r="26" spans="1:70" s="197" customFormat="1" ht="13.2" x14ac:dyDescent="0.3">
      <c r="A26" s="13"/>
      <c r="B26" s="5"/>
      <c r="C26" s="175" t="s">
        <v>70</v>
      </c>
      <c r="D26" s="175"/>
      <c r="E26" s="222">
        <f ca="1">V26</f>
        <v>897.20722254439693</v>
      </c>
      <c r="F26" s="222">
        <f ca="1">AH26</f>
        <v>834.05680497345634</v>
      </c>
      <c r="G26" s="222">
        <f ca="1">AT26</f>
        <v>886.31843409597468</v>
      </c>
      <c r="H26" s="222">
        <f ca="1">BF26</f>
        <v>942.82080387591486</v>
      </c>
      <c r="I26" s="222">
        <f ca="1">BR26</f>
        <v>1003.9080268414435</v>
      </c>
      <c r="J26" s="199"/>
      <c r="K26" s="223">
        <f t="shared" ref="K26:BR26" ca="1" si="21">SUM(K24:K25)</f>
        <v>733.22288825617181</v>
      </c>
      <c r="L26" s="223">
        <f t="shared" ca="1" si="21"/>
        <v>942.06384474858385</v>
      </c>
      <c r="M26" s="223">
        <f t="shared" ca="1" si="21"/>
        <v>1003.4942578927141</v>
      </c>
      <c r="N26" s="223">
        <f t="shared" ca="1" si="21"/>
        <v>989.9263493706992</v>
      </c>
      <c r="O26" s="223">
        <f t="shared" ca="1" si="21"/>
        <v>975.76326090452221</v>
      </c>
      <c r="P26" s="223">
        <f t="shared" ca="1" si="21"/>
        <v>1041.6518735233565</v>
      </c>
      <c r="Q26" s="223">
        <f t="shared" ca="1" si="21"/>
        <v>1023.7698122242194</v>
      </c>
      <c r="R26" s="223">
        <f t="shared" ca="1" si="21"/>
        <v>1005.2602615410606</v>
      </c>
      <c r="S26" s="223">
        <f t="shared" ca="1" si="21"/>
        <v>986.11592583332356</v>
      </c>
      <c r="T26" s="223">
        <f t="shared" ca="1" si="21"/>
        <v>966.3294410539886</v>
      </c>
      <c r="U26" s="223">
        <f t="shared" ca="1" si="21"/>
        <v>947.49337416441142</v>
      </c>
      <c r="V26" s="222">
        <f t="shared" ca="1" si="21"/>
        <v>897.20722254439693</v>
      </c>
      <c r="W26" s="223">
        <f t="shared" ca="1" si="21"/>
        <v>828.88330242553525</v>
      </c>
      <c r="X26" s="223">
        <f t="shared" ca="1" si="21"/>
        <v>811.53689785462279</v>
      </c>
      <c r="Y26" s="223">
        <f t="shared" ca="1" si="21"/>
        <v>797.45118510437464</v>
      </c>
      <c r="Z26" s="223">
        <f t="shared" ca="1" si="21"/>
        <v>801.41350458742852</v>
      </c>
      <c r="AA26" s="223">
        <f t="shared" ca="1" si="21"/>
        <v>805.40166972865347</v>
      </c>
      <c r="AB26" s="223">
        <f t="shared" ca="1" si="21"/>
        <v>809.41584911567816</v>
      </c>
      <c r="AC26" s="223">
        <f t="shared" ca="1" si="21"/>
        <v>813.45621243580536</v>
      </c>
      <c r="AD26" s="223">
        <f t="shared" ca="1" si="21"/>
        <v>817.52293048318381</v>
      </c>
      <c r="AE26" s="223">
        <f t="shared" ca="1" si="21"/>
        <v>821.61617516602939</v>
      </c>
      <c r="AF26" s="223">
        <f t="shared" ca="1" si="21"/>
        <v>825.73611951389057</v>
      </c>
      <c r="AG26" s="223">
        <f t="shared" ca="1" si="21"/>
        <v>829.8829376849643</v>
      </c>
      <c r="AH26" s="222">
        <f t="shared" ca="1" si="21"/>
        <v>834.05680497345634</v>
      </c>
      <c r="AI26" s="223">
        <f t="shared" ca="1" si="21"/>
        <v>838.2578978169928</v>
      </c>
      <c r="AJ26" s="223">
        <f t="shared" ca="1" si="21"/>
        <v>842.48639380407769</v>
      </c>
      <c r="AK26" s="223">
        <f t="shared" ca="1" si="21"/>
        <v>846.74247168160002</v>
      </c>
      <c r="AL26" s="223">
        <f t="shared" ca="1" si="21"/>
        <v>851.02631136239006</v>
      </c>
      <c r="AM26" s="223">
        <f t="shared" ca="1" si="21"/>
        <v>855.33809393282411</v>
      </c>
      <c r="AN26" s="223">
        <f t="shared" ca="1" si="21"/>
        <v>859.67800166047982</v>
      </c>
      <c r="AO26" s="223">
        <f t="shared" ca="1" si="21"/>
        <v>864.04621800184066</v>
      </c>
      <c r="AP26" s="223">
        <f t="shared" ca="1" si="21"/>
        <v>868.4429276100517</v>
      </c>
      <c r="AQ26" s="223">
        <f t="shared" ca="1" si="21"/>
        <v>872.86831634272414</v>
      </c>
      <c r="AR26" s="223">
        <f t="shared" ca="1" si="21"/>
        <v>877.32257126979323</v>
      </c>
      <c r="AS26" s="223">
        <f t="shared" ca="1" si="21"/>
        <v>881.80588068142447</v>
      </c>
      <c r="AT26" s="222">
        <f t="shared" ca="1" si="21"/>
        <v>886.31843409597468</v>
      </c>
      <c r="AU26" s="223">
        <f t="shared" ca="1" si="21"/>
        <v>890.86042226800214</v>
      </c>
      <c r="AV26" s="223">
        <f t="shared" ca="1" si="21"/>
        <v>895.43203719633073</v>
      </c>
      <c r="AW26" s="223">
        <f t="shared" ca="1" si="21"/>
        <v>900.03347213216534</v>
      </c>
      <c r="AX26" s="223">
        <f t="shared" ca="1" si="21"/>
        <v>904.66492158726248</v>
      </c>
      <c r="AY26" s="223">
        <f t="shared" ca="1" si="21"/>
        <v>909.32658134215103</v>
      </c>
      <c r="AZ26" s="223">
        <f t="shared" ca="1" si="21"/>
        <v>914.01864845440934</v>
      </c>
      <c r="BA26" s="223">
        <f t="shared" ca="1" si="21"/>
        <v>918.7413212669951</v>
      </c>
      <c r="BB26" s="223">
        <f t="shared" ca="1" si="21"/>
        <v>923.49479941662844</v>
      </c>
      <c r="BC26" s="223">
        <f t="shared" ca="1" si="21"/>
        <v>928.27928384223389</v>
      </c>
      <c r="BD26" s="223">
        <f t="shared" ca="1" si="21"/>
        <v>933.09497679343076</v>
      </c>
      <c r="BE26" s="223">
        <f t="shared" ca="1" si="21"/>
        <v>937.94208183908529</v>
      </c>
      <c r="BF26" s="222">
        <f t="shared" ca="1" si="21"/>
        <v>942.82080387591486</v>
      </c>
      <c r="BG26" s="223">
        <f t="shared" ca="1" si="21"/>
        <v>947.73134913715012</v>
      </c>
      <c r="BH26" s="223">
        <f t="shared" ca="1" si="21"/>
        <v>952.67392520125145</v>
      </c>
      <c r="BI26" s="223">
        <f t="shared" ca="1" si="21"/>
        <v>957.6487410006855</v>
      </c>
      <c r="BJ26" s="223">
        <f t="shared" ca="1" si="21"/>
        <v>962.6560068307557</v>
      </c>
      <c r="BK26" s="223">
        <f t="shared" ca="1" si="21"/>
        <v>967.69593435849322</v>
      </c>
      <c r="BL26" s="223">
        <f t="shared" ca="1" si="21"/>
        <v>972.76873663160256</v>
      </c>
      <c r="BM26" s="223">
        <f t="shared" ca="1" si="21"/>
        <v>977.87462808746989</v>
      </c>
      <c r="BN26" s="223">
        <f t="shared" ca="1" si="21"/>
        <v>983.0138245622262</v>
      </c>
      <c r="BO26" s="223">
        <f t="shared" ca="1" si="21"/>
        <v>988.18654329987123</v>
      </c>
      <c r="BP26" s="223">
        <f t="shared" ca="1" si="21"/>
        <v>993.39300296145734</v>
      </c>
      <c r="BQ26" s="223">
        <f t="shared" ca="1" si="21"/>
        <v>998.63342363433253</v>
      </c>
      <c r="BR26" s="222">
        <f t="shared" ca="1" si="21"/>
        <v>1003.9080268414435</v>
      </c>
    </row>
    <row r="27" spans="1:70" s="14" customFormat="1" ht="13.2" x14ac:dyDescent="0.3">
      <c r="A27" s="13"/>
      <c r="B27" s="5"/>
      <c r="C27" s="185" t="s">
        <v>209</v>
      </c>
      <c r="E27" s="211">
        <f t="shared" ref="E27:E28" si="22">V27</f>
        <v>30</v>
      </c>
      <c r="F27" s="211">
        <f t="shared" ref="F27:F28" si="23">AH27</f>
        <v>30</v>
      </c>
      <c r="G27" s="211">
        <f t="shared" ref="G27:G28" si="24">AT27</f>
        <v>30</v>
      </c>
      <c r="H27" s="211">
        <f t="shared" ref="H27:H28" si="25">BF27</f>
        <v>30</v>
      </c>
      <c r="I27" s="211">
        <f t="shared" ref="I27:I28" si="26">BR27</f>
        <v>30</v>
      </c>
      <c r="J27" s="210"/>
      <c r="K27" s="212">
        <f>StartPreferred+Credit!K7</f>
        <v>20</v>
      </c>
      <c r="L27" s="213">
        <f>Credit!L7+K27</f>
        <v>20</v>
      </c>
      <c r="M27" s="213">
        <f>Credit!M7+L27</f>
        <v>20</v>
      </c>
      <c r="N27" s="213">
        <f>Credit!N7+M27</f>
        <v>20</v>
      </c>
      <c r="O27" s="213">
        <f>Credit!O7+N27</f>
        <v>20</v>
      </c>
      <c r="P27" s="213">
        <f>Credit!P7+O27</f>
        <v>30</v>
      </c>
      <c r="Q27" s="213">
        <f>Credit!Q7+P27</f>
        <v>30</v>
      </c>
      <c r="R27" s="213">
        <f>Credit!R7+Q27</f>
        <v>30</v>
      </c>
      <c r="S27" s="213">
        <f>Credit!S7+R27</f>
        <v>30</v>
      </c>
      <c r="T27" s="213">
        <f>Credit!T7+S27</f>
        <v>30</v>
      </c>
      <c r="U27" s="213">
        <f>Credit!U7+T27</f>
        <v>30</v>
      </c>
      <c r="V27" s="211">
        <f>Credit!V7+U27</f>
        <v>30</v>
      </c>
      <c r="W27" s="212">
        <f>Credit!W7+V27</f>
        <v>30</v>
      </c>
      <c r="X27" s="213">
        <f>Credit!X7+W27</f>
        <v>30</v>
      </c>
      <c r="Y27" s="213">
        <f>Credit!Y7+X27</f>
        <v>30</v>
      </c>
      <c r="Z27" s="213">
        <f>Credit!Z7+Y27</f>
        <v>30</v>
      </c>
      <c r="AA27" s="213">
        <f>Credit!AA7+Z27</f>
        <v>30</v>
      </c>
      <c r="AB27" s="213">
        <f>Credit!AB7+AA27</f>
        <v>30</v>
      </c>
      <c r="AC27" s="213">
        <f>Credit!AC7+AB27</f>
        <v>30</v>
      </c>
      <c r="AD27" s="213">
        <f>Credit!AD7+AC27</f>
        <v>30</v>
      </c>
      <c r="AE27" s="213">
        <f>Credit!AE7+AD27</f>
        <v>30</v>
      </c>
      <c r="AF27" s="213">
        <f>Credit!AF7+AE27</f>
        <v>30</v>
      </c>
      <c r="AG27" s="213">
        <f>Credit!AG7+AF27</f>
        <v>30</v>
      </c>
      <c r="AH27" s="211">
        <f>Credit!AH7+AG27</f>
        <v>30</v>
      </c>
      <c r="AI27" s="212">
        <f>Credit!AI7+AH27</f>
        <v>30</v>
      </c>
      <c r="AJ27" s="213">
        <f>Credit!AJ7+AI27</f>
        <v>30</v>
      </c>
      <c r="AK27" s="213">
        <f>Credit!AK7+AJ27</f>
        <v>30</v>
      </c>
      <c r="AL27" s="213">
        <f>Credit!AL7+AK27</f>
        <v>30</v>
      </c>
      <c r="AM27" s="213">
        <f>Credit!AM7+AL27</f>
        <v>30</v>
      </c>
      <c r="AN27" s="213">
        <f>Credit!AN7+AM27</f>
        <v>30</v>
      </c>
      <c r="AO27" s="213">
        <f>Credit!AO7+AN27</f>
        <v>30</v>
      </c>
      <c r="AP27" s="213">
        <f>Credit!AP7+AO27</f>
        <v>30</v>
      </c>
      <c r="AQ27" s="213">
        <f>Credit!AQ7+AP27</f>
        <v>30</v>
      </c>
      <c r="AR27" s="213">
        <f>Credit!AR7+AQ27</f>
        <v>30</v>
      </c>
      <c r="AS27" s="213">
        <f>Credit!AS7+AR27</f>
        <v>30</v>
      </c>
      <c r="AT27" s="211">
        <f>Credit!AT7+AS27</f>
        <v>30</v>
      </c>
      <c r="AU27" s="212">
        <f>Credit!AU7+AT27</f>
        <v>30</v>
      </c>
      <c r="AV27" s="213">
        <f>Credit!AV7+AU27</f>
        <v>30</v>
      </c>
      <c r="AW27" s="213">
        <f>Credit!AW7+AV27</f>
        <v>30</v>
      </c>
      <c r="AX27" s="213">
        <f>Credit!AX7+AW27</f>
        <v>30</v>
      </c>
      <c r="AY27" s="213">
        <f>Credit!AY7+AX27</f>
        <v>30</v>
      </c>
      <c r="AZ27" s="213">
        <f>Credit!AZ7+AY27</f>
        <v>30</v>
      </c>
      <c r="BA27" s="213">
        <f>Credit!BA7+AZ27</f>
        <v>30</v>
      </c>
      <c r="BB27" s="213">
        <f>Credit!BB7+BA27</f>
        <v>30</v>
      </c>
      <c r="BC27" s="213">
        <f>Credit!BC7+BB27</f>
        <v>30</v>
      </c>
      <c r="BD27" s="213">
        <f>Credit!BD7+BC27</f>
        <v>30</v>
      </c>
      <c r="BE27" s="213">
        <f>Credit!BE7+BD27</f>
        <v>30</v>
      </c>
      <c r="BF27" s="211">
        <f>Credit!BF7+BE27</f>
        <v>30</v>
      </c>
      <c r="BG27" s="212">
        <f>Credit!BG7+BF27</f>
        <v>30</v>
      </c>
      <c r="BH27" s="213">
        <f>Credit!BH7+BG27</f>
        <v>30</v>
      </c>
      <c r="BI27" s="213">
        <f>Credit!BI7+BH27</f>
        <v>30</v>
      </c>
      <c r="BJ27" s="213">
        <f>Credit!BJ7+BI27</f>
        <v>30</v>
      </c>
      <c r="BK27" s="213">
        <f>Credit!BK7+BJ27</f>
        <v>30</v>
      </c>
      <c r="BL27" s="213">
        <f>Credit!BL7+BK27</f>
        <v>30</v>
      </c>
      <c r="BM27" s="213">
        <f>Credit!BM7+BL27</f>
        <v>30</v>
      </c>
      <c r="BN27" s="213">
        <f>Credit!BN7+BM27</f>
        <v>30</v>
      </c>
      <c r="BO27" s="213">
        <f>Credit!BO7+BN27</f>
        <v>30</v>
      </c>
      <c r="BP27" s="213">
        <f>Credit!BP7+BO27</f>
        <v>30</v>
      </c>
      <c r="BQ27" s="213">
        <f>Credit!BQ7+BP27</f>
        <v>30</v>
      </c>
      <c r="BR27" s="211">
        <f>Credit!BR7+BQ27</f>
        <v>30</v>
      </c>
    </row>
    <row r="28" spans="1:70" s="14" customFormat="1" ht="13.2" x14ac:dyDescent="0.3">
      <c r="A28" s="128"/>
      <c r="B28" s="5"/>
      <c r="C28" s="185" t="s">
        <v>210</v>
      </c>
      <c r="E28" s="211">
        <f t="shared" si="22"/>
        <v>55</v>
      </c>
      <c r="F28" s="211">
        <f t="shared" si="23"/>
        <v>115</v>
      </c>
      <c r="G28" s="211">
        <f t="shared" si="24"/>
        <v>115</v>
      </c>
      <c r="H28" s="211">
        <f t="shared" si="25"/>
        <v>115</v>
      </c>
      <c r="I28" s="211">
        <f t="shared" si="26"/>
        <v>115</v>
      </c>
      <c r="J28" s="210"/>
      <c r="K28" s="212">
        <f>StartCommon+Credit!K8</f>
        <v>40</v>
      </c>
      <c r="L28" s="213">
        <f>Credit!L8+K28</f>
        <v>40</v>
      </c>
      <c r="M28" s="213">
        <f>Credit!M8+L28</f>
        <v>40</v>
      </c>
      <c r="N28" s="213">
        <f>Credit!N8+M28</f>
        <v>40</v>
      </c>
      <c r="O28" s="213">
        <f>Credit!O8+N28</f>
        <v>40</v>
      </c>
      <c r="P28" s="213">
        <f>Credit!P8+O28</f>
        <v>55</v>
      </c>
      <c r="Q28" s="213">
        <f>Credit!Q8+P28</f>
        <v>55</v>
      </c>
      <c r="R28" s="213">
        <f>Credit!R8+Q28</f>
        <v>55</v>
      </c>
      <c r="S28" s="213">
        <f>Credit!S8+R28</f>
        <v>55</v>
      </c>
      <c r="T28" s="213">
        <f>Credit!T8+S28</f>
        <v>55</v>
      </c>
      <c r="U28" s="213">
        <f>Credit!U8+T28</f>
        <v>55</v>
      </c>
      <c r="V28" s="211">
        <f>Credit!V8+U28</f>
        <v>55</v>
      </c>
      <c r="W28" s="212">
        <f>Credit!W8+V28</f>
        <v>115</v>
      </c>
      <c r="X28" s="213">
        <f>Credit!X8+W28</f>
        <v>115</v>
      </c>
      <c r="Y28" s="213">
        <f>Credit!Y8+X28</f>
        <v>115</v>
      </c>
      <c r="Z28" s="213">
        <f>Credit!Z8+Y28</f>
        <v>115</v>
      </c>
      <c r="AA28" s="213">
        <f>Credit!AA8+Z28</f>
        <v>115</v>
      </c>
      <c r="AB28" s="213">
        <f>Credit!AB8+AA28</f>
        <v>115</v>
      </c>
      <c r="AC28" s="213">
        <f>Credit!AC8+AB28</f>
        <v>115</v>
      </c>
      <c r="AD28" s="213">
        <f>Credit!AD8+AC28</f>
        <v>115</v>
      </c>
      <c r="AE28" s="213">
        <f>Credit!AE8+AD28</f>
        <v>115</v>
      </c>
      <c r="AF28" s="213">
        <f>Credit!AF8+AE28</f>
        <v>115</v>
      </c>
      <c r="AG28" s="213">
        <f>Credit!AG8+AF28</f>
        <v>115</v>
      </c>
      <c r="AH28" s="211">
        <f>Credit!AH8+AG28</f>
        <v>115</v>
      </c>
      <c r="AI28" s="212">
        <f>Credit!AI8+AH28</f>
        <v>115</v>
      </c>
      <c r="AJ28" s="213">
        <f>Credit!AJ8+AI28</f>
        <v>115</v>
      </c>
      <c r="AK28" s="213">
        <f>Credit!AK8+AJ28</f>
        <v>115</v>
      </c>
      <c r="AL28" s="213">
        <f>Credit!AL8+AK28</f>
        <v>115</v>
      </c>
      <c r="AM28" s="213">
        <f>Credit!AM8+AL28</f>
        <v>115</v>
      </c>
      <c r="AN28" s="213">
        <f>Credit!AN8+AM28</f>
        <v>115</v>
      </c>
      <c r="AO28" s="213">
        <f>Credit!AO8+AN28</f>
        <v>115</v>
      </c>
      <c r="AP28" s="213">
        <f>Credit!AP8+AO28</f>
        <v>115</v>
      </c>
      <c r="AQ28" s="213">
        <f>Credit!AQ8+AP28</f>
        <v>115</v>
      </c>
      <c r="AR28" s="213">
        <f>Credit!AR8+AQ28</f>
        <v>115</v>
      </c>
      <c r="AS28" s="213">
        <f>Credit!AS8+AR28</f>
        <v>115</v>
      </c>
      <c r="AT28" s="211">
        <f>Credit!AT8+AS28</f>
        <v>115</v>
      </c>
      <c r="AU28" s="212">
        <f>Credit!AU8+AT28</f>
        <v>115</v>
      </c>
      <c r="AV28" s="213">
        <f>Credit!AV8+AU28</f>
        <v>115</v>
      </c>
      <c r="AW28" s="213">
        <f>Credit!AW8+AV28</f>
        <v>115</v>
      </c>
      <c r="AX28" s="213">
        <f>Credit!AX8+AW28</f>
        <v>115</v>
      </c>
      <c r="AY28" s="213">
        <f>Credit!AY8+AX28</f>
        <v>115</v>
      </c>
      <c r="AZ28" s="213">
        <f>Credit!AZ8+AY28</f>
        <v>115</v>
      </c>
      <c r="BA28" s="213">
        <f>Credit!BA8+AZ28</f>
        <v>115</v>
      </c>
      <c r="BB28" s="213">
        <f>Credit!BB8+BA28</f>
        <v>115</v>
      </c>
      <c r="BC28" s="213">
        <f>Credit!BC8+BB28</f>
        <v>115</v>
      </c>
      <c r="BD28" s="213">
        <f>Credit!BD8+BC28</f>
        <v>115</v>
      </c>
      <c r="BE28" s="213">
        <f>Credit!BE8+BD28</f>
        <v>115</v>
      </c>
      <c r="BF28" s="211">
        <f>Credit!BF8+BE28</f>
        <v>115</v>
      </c>
      <c r="BG28" s="212">
        <f>Credit!BG8+BF28</f>
        <v>115</v>
      </c>
      <c r="BH28" s="213">
        <f>Credit!BH8+BG28</f>
        <v>115</v>
      </c>
      <c r="BI28" s="213">
        <f>Credit!BI8+BH28</f>
        <v>115</v>
      </c>
      <c r="BJ28" s="213">
        <f>Credit!BJ8+BI28</f>
        <v>115</v>
      </c>
      <c r="BK28" s="213">
        <f>Credit!BK8+BJ28</f>
        <v>115</v>
      </c>
      <c r="BL28" s="213">
        <f>Credit!BL8+BK28</f>
        <v>115</v>
      </c>
      <c r="BM28" s="213">
        <f>Credit!BM8+BL28</f>
        <v>115</v>
      </c>
      <c r="BN28" s="213">
        <f>Credit!BN8+BM28</f>
        <v>115</v>
      </c>
      <c r="BO28" s="213">
        <f>Credit!BO8+BN28</f>
        <v>115</v>
      </c>
      <c r="BP28" s="213">
        <f>Credit!BP8+BO28</f>
        <v>115</v>
      </c>
      <c r="BQ28" s="213">
        <f>Credit!BQ8+BP28</f>
        <v>115</v>
      </c>
      <c r="BR28" s="211">
        <f>Credit!BR8+BQ28</f>
        <v>115</v>
      </c>
    </row>
    <row r="29" spans="1:70" s="14" customFormat="1" ht="13.2" x14ac:dyDescent="0.3">
      <c r="A29" s="13"/>
      <c r="B29" s="5"/>
      <c r="C29" s="246" t="s">
        <v>140</v>
      </c>
      <c r="E29" s="247">
        <f ca="1">V29</f>
        <v>142.92714000820303</v>
      </c>
      <c r="F29" s="247">
        <f ca="1">AH29</f>
        <v>443.05814156634517</v>
      </c>
      <c r="G29" s="247">
        <f ca="1">AT29</f>
        <v>834.42369465519744</v>
      </c>
      <c r="H29" s="247">
        <f ca="1">BF29</f>
        <v>1317.5680855198918</v>
      </c>
      <c r="I29" s="247">
        <f ca="1">BR29</f>
        <v>1908.8828240610401</v>
      </c>
      <c r="J29" s="16"/>
      <c r="K29" s="226">
        <f ca="1">Income!K29</f>
        <v>14.442082324939163</v>
      </c>
      <c r="L29" s="226">
        <f ca="1">Income!L29</f>
        <v>28.314811396352823</v>
      </c>
      <c r="M29" s="226">
        <f ca="1">Income!M29</f>
        <v>42.585363356565168</v>
      </c>
      <c r="N29" s="226">
        <f ca="1">Income!N29</f>
        <v>57.237170689025227</v>
      </c>
      <c r="O29" s="226">
        <f ca="1">Income!O29</f>
        <v>72.519674092063809</v>
      </c>
      <c r="P29" s="226">
        <f ca="1">Income!P29</f>
        <v>75.643383622554907</v>
      </c>
      <c r="Q29" s="226">
        <f ca="1">Income!Q29</f>
        <v>87.573781390905182</v>
      </c>
      <c r="R29" s="226">
        <f ca="1">Income!R29</f>
        <v>100.16793457553472</v>
      </c>
      <c r="S29" s="226">
        <f ca="1">Income!S29</f>
        <v>113.43339228939865</v>
      </c>
      <c r="T29" s="226">
        <f ca="1">Income!T29</f>
        <v>127.37777382425509</v>
      </c>
      <c r="U29" s="226">
        <f ca="1">Income!U29</f>
        <v>144.40876924822547</v>
      </c>
      <c r="V29" s="247">
        <f ca="1">Income!V29</f>
        <v>142.92714000820303</v>
      </c>
      <c r="W29" s="226">
        <f ca="1">Income!W29</f>
        <v>156.66368765194815</v>
      </c>
      <c r="X29" s="226">
        <f ca="1">Income!X29</f>
        <v>179.46053344875355</v>
      </c>
      <c r="Y29" s="226">
        <f ca="1">Income!Y29</f>
        <v>202.95323208016396</v>
      </c>
      <c r="Z29" s="226">
        <f ca="1">Income!Z29</f>
        <v>227.13259603361428</v>
      </c>
      <c r="AA29" s="226">
        <f ca="1">Income!AA29</f>
        <v>251.92478357924921</v>
      </c>
      <c r="AB29" s="226">
        <f ca="1">Income!AB29</f>
        <v>277.33484076516356</v>
      </c>
      <c r="AC29" s="226">
        <f ca="1">Income!AC29</f>
        <v>303.36785393064622</v>
      </c>
      <c r="AD29" s="226">
        <f ca="1">Income!AD29</f>
        <v>330.02895002088115</v>
      </c>
      <c r="AE29" s="226">
        <f ca="1">Income!AE29</f>
        <v>357.32329690406584</v>
      </c>
      <c r="AF29" s="226">
        <f ca="1">Income!AF29</f>
        <v>385.25610369096609</v>
      </c>
      <c r="AG29" s="226">
        <f ca="1">Income!AG29</f>
        <v>413.83262105692489</v>
      </c>
      <c r="AH29" s="247">
        <f ca="1">Income!AH29</f>
        <v>443.05814156634517</v>
      </c>
      <c r="AI29" s="226">
        <f ca="1">Income!AI29</f>
        <v>471.94232843525049</v>
      </c>
      <c r="AJ29" s="226">
        <f ca="1">Income!AJ29</f>
        <v>501.48623055400986</v>
      </c>
      <c r="AK29" s="226">
        <f ca="1">Income!AK29</f>
        <v>531.69526812611309</v>
      </c>
      <c r="AL29" s="226">
        <f ca="1">Income!AL29</f>
        <v>562.57490456714766</v>
      </c>
      <c r="AM29" s="226">
        <f ca="1">Income!AM29</f>
        <v>594.13064684193102</v>
      </c>
      <c r="AN29" s="226">
        <f ca="1">Income!AN29</f>
        <v>626.36804580423086</v>
      </c>
      <c r="AO29" s="226">
        <f ca="1">Income!AO29</f>
        <v>659.29269653909228</v>
      </c>
      <c r="AP29" s="226">
        <f ca="1">Income!AP29</f>
        <v>692.91023870779259</v>
      </c>
      <c r="AQ29" s="226">
        <f ca="1">Income!AQ29</f>
        <v>727.22635689544313</v>
      </c>
      <c r="AR29" s="226">
        <f ca="1">Income!AR29</f>
        <v>762.24678096125808</v>
      </c>
      <c r="AS29" s="226">
        <f ca="1">Income!AS29</f>
        <v>797.97728639151069</v>
      </c>
      <c r="AT29" s="247">
        <f ca="1">Income!AT29</f>
        <v>834.42369465519744</v>
      </c>
      <c r="AU29" s="226">
        <f ca="1">Income!AU29</f>
        <v>870.57218204993001</v>
      </c>
      <c r="AV29" s="226">
        <f ca="1">Income!AV29</f>
        <v>907.44835460057698</v>
      </c>
      <c r="AW29" s="226">
        <f ca="1">Income!AW29</f>
        <v>945.05817388567414</v>
      </c>
      <c r="AX29" s="226">
        <f ca="1">Income!AX29</f>
        <v>983.40764891662616</v>
      </c>
      <c r="AY29" s="226">
        <f ca="1">Income!AY29</f>
        <v>1022.5028365072204</v>
      </c>
      <c r="AZ29" s="226">
        <f ca="1">Income!AZ29</f>
        <v>1062.3498416459729</v>
      </c>
      <c r="BA29" s="226">
        <f ca="1">Income!BA29</f>
        <v>1102.9548178713301</v>
      </c>
      <c r="BB29" s="226">
        <f ca="1">Income!BB29</f>
        <v>1144.3239676497458</v>
      </c>
      <c r="BC29" s="226">
        <f ca="1">Income!BC29</f>
        <v>1186.4635427566568</v>
      </c>
      <c r="BD29" s="226">
        <f ca="1">Income!BD29</f>
        <v>1229.3798446603782</v>
      </c>
      <c r="BE29" s="226">
        <f ca="1">Income!BE29</f>
        <v>1273.0792249089407</v>
      </c>
      <c r="BF29" s="247">
        <f ca="1">Income!BF29</f>
        <v>1317.5680855198918</v>
      </c>
      <c r="BG29" s="226">
        <f ca="1">Income!BG29</f>
        <v>1361.8085441734015</v>
      </c>
      <c r="BH29" s="226">
        <f ca="1">Income!BH29</f>
        <v>1406.85144020711</v>
      </c>
      <c r="BI29" s="226">
        <f ca="1">Income!BI29</f>
        <v>1452.7033294159069</v>
      </c>
      <c r="BJ29" s="226">
        <f ca="1">Income!BJ29</f>
        <v>1499.3708196534999</v>
      </c>
      <c r="BK29" s="226">
        <f ca="1">Income!BK29</f>
        <v>1546.8605712373781</v>
      </c>
      <c r="BL29" s="226">
        <f ca="1">Income!BL29</f>
        <v>1595.1792973568763</v>
      </c>
      <c r="BM29" s="226">
        <f ca="1">Income!BM29</f>
        <v>1653.3337644843648</v>
      </c>
      <c r="BN29" s="226">
        <f ca="1">Income!BN29</f>
        <v>1703.3307927895871</v>
      </c>
      <c r="BO29" s="226">
        <f ca="1">Income!BO29</f>
        <v>1754.1772565571707</v>
      </c>
      <c r="BP29" s="226">
        <f ca="1">Income!BP29</f>
        <v>1802.8800846073343</v>
      </c>
      <c r="BQ29" s="226">
        <f ca="1">Income!BQ29</f>
        <v>1855.4462607198147</v>
      </c>
      <c r="BR29" s="247">
        <f ca="1">Income!BR29</f>
        <v>1908.8828240610401</v>
      </c>
    </row>
    <row r="30" spans="1:70" s="197" customFormat="1" ht="13.2" x14ac:dyDescent="0.3">
      <c r="A30" s="5"/>
      <c r="B30" s="5"/>
      <c r="C30" s="175" t="s">
        <v>71</v>
      </c>
      <c r="D30" s="175"/>
      <c r="E30" s="222">
        <f ca="1">V30</f>
        <v>227.92714000820303</v>
      </c>
      <c r="F30" s="222">
        <f ca="1">AH30</f>
        <v>588.05814156634517</v>
      </c>
      <c r="G30" s="222">
        <f ca="1">AT30</f>
        <v>979.42369465519744</v>
      </c>
      <c r="H30" s="222">
        <f ca="1">BF30</f>
        <v>1462.5680855198918</v>
      </c>
      <c r="I30" s="222">
        <f ca="1">BR30</f>
        <v>2053.8828240610401</v>
      </c>
      <c r="J30" s="175"/>
      <c r="K30" s="223">
        <f t="shared" ref="K30:BR30" ca="1" si="27">SUM(K27:K29)</f>
        <v>74.442082324939165</v>
      </c>
      <c r="L30" s="223">
        <f t="shared" ca="1" si="27"/>
        <v>88.314811396352823</v>
      </c>
      <c r="M30" s="223">
        <f t="shared" ca="1" si="27"/>
        <v>102.58536335656517</v>
      </c>
      <c r="N30" s="223">
        <f t="shared" ca="1" si="27"/>
        <v>117.23717068902522</v>
      </c>
      <c r="O30" s="223">
        <f t="shared" ca="1" si="27"/>
        <v>132.51967409206381</v>
      </c>
      <c r="P30" s="223">
        <f t="shared" ca="1" si="27"/>
        <v>160.64338362255489</v>
      </c>
      <c r="Q30" s="223">
        <f t="shared" ca="1" si="27"/>
        <v>172.5737813909052</v>
      </c>
      <c r="R30" s="223">
        <f t="shared" ca="1" si="27"/>
        <v>185.16793457553473</v>
      </c>
      <c r="S30" s="223">
        <f t="shared" ca="1" si="27"/>
        <v>198.43339228939865</v>
      </c>
      <c r="T30" s="223">
        <f t="shared" ca="1" si="27"/>
        <v>212.37777382425509</v>
      </c>
      <c r="U30" s="223">
        <f t="shared" ca="1" si="27"/>
        <v>229.40876924822547</v>
      </c>
      <c r="V30" s="222">
        <f t="shared" ca="1" si="27"/>
        <v>227.92714000820303</v>
      </c>
      <c r="W30" s="223">
        <f t="shared" ca="1" si="27"/>
        <v>301.66368765194818</v>
      </c>
      <c r="X30" s="223">
        <f t="shared" ca="1" si="27"/>
        <v>324.46053344875355</v>
      </c>
      <c r="Y30" s="223">
        <f t="shared" ca="1" si="27"/>
        <v>347.95323208016396</v>
      </c>
      <c r="Z30" s="223">
        <f t="shared" ca="1" si="27"/>
        <v>372.13259603361428</v>
      </c>
      <c r="AA30" s="223">
        <f t="shared" ca="1" si="27"/>
        <v>396.92478357924921</v>
      </c>
      <c r="AB30" s="223">
        <f t="shared" ca="1" si="27"/>
        <v>422.33484076516356</v>
      </c>
      <c r="AC30" s="223">
        <f t="shared" ca="1" si="27"/>
        <v>448.36785393064622</v>
      </c>
      <c r="AD30" s="223">
        <f t="shared" ca="1" si="27"/>
        <v>475.02895002088115</v>
      </c>
      <c r="AE30" s="223">
        <f t="shared" ca="1" si="27"/>
        <v>502.32329690406584</v>
      </c>
      <c r="AF30" s="223">
        <f t="shared" ca="1" si="27"/>
        <v>530.25610369096603</v>
      </c>
      <c r="AG30" s="223">
        <f t="shared" ca="1" si="27"/>
        <v>558.83262105692484</v>
      </c>
      <c r="AH30" s="222">
        <f t="shared" ca="1" si="27"/>
        <v>588.05814156634517</v>
      </c>
      <c r="AI30" s="223">
        <f t="shared" ca="1" si="27"/>
        <v>616.94232843525049</v>
      </c>
      <c r="AJ30" s="223">
        <f t="shared" ca="1" si="27"/>
        <v>646.48623055400981</v>
      </c>
      <c r="AK30" s="223">
        <f t="shared" ca="1" si="27"/>
        <v>676.69526812611309</v>
      </c>
      <c r="AL30" s="223">
        <f t="shared" ca="1" si="27"/>
        <v>707.57490456714766</v>
      </c>
      <c r="AM30" s="223">
        <f t="shared" ca="1" si="27"/>
        <v>739.13064684193102</v>
      </c>
      <c r="AN30" s="223">
        <f t="shared" ca="1" si="27"/>
        <v>771.36804580423086</v>
      </c>
      <c r="AO30" s="223">
        <f t="shared" ca="1" si="27"/>
        <v>804.29269653909228</v>
      </c>
      <c r="AP30" s="223">
        <f t="shared" ca="1" si="27"/>
        <v>837.91023870779259</v>
      </c>
      <c r="AQ30" s="223">
        <f t="shared" ca="1" si="27"/>
        <v>872.22635689544313</v>
      </c>
      <c r="AR30" s="223">
        <f t="shared" ca="1" si="27"/>
        <v>907.24678096125808</v>
      </c>
      <c r="AS30" s="223">
        <f t="shared" ca="1" si="27"/>
        <v>942.97728639151069</v>
      </c>
      <c r="AT30" s="222">
        <f t="shared" ca="1" si="27"/>
        <v>979.42369465519744</v>
      </c>
      <c r="AU30" s="223">
        <f t="shared" ca="1" si="27"/>
        <v>1015.57218204993</v>
      </c>
      <c r="AV30" s="223">
        <f t="shared" ca="1" si="27"/>
        <v>1052.448354600577</v>
      </c>
      <c r="AW30" s="223">
        <f t="shared" ca="1" si="27"/>
        <v>1090.058173885674</v>
      </c>
      <c r="AX30" s="223">
        <f t="shared" ca="1" si="27"/>
        <v>1128.4076489166262</v>
      </c>
      <c r="AY30" s="223">
        <f t="shared" ca="1" si="27"/>
        <v>1167.5028365072203</v>
      </c>
      <c r="AZ30" s="223">
        <f t="shared" ca="1" si="27"/>
        <v>1207.3498416459729</v>
      </c>
      <c r="BA30" s="223">
        <f t="shared" ca="1" si="27"/>
        <v>1247.9548178713301</v>
      </c>
      <c r="BB30" s="223">
        <f t="shared" ca="1" si="27"/>
        <v>1289.3239676497458</v>
      </c>
      <c r="BC30" s="223">
        <f t="shared" ca="1" si="27"/>
        <v>1331.4635427566568</v>
      </c>
      <c r="BD30" s="223">
        <f t="shared" ca="1" si="27"/>
        <v>1374.3798446603782</v>
      </c>
      <c r="BE30" s="223">
        <f t="shared" ca="1" si="27"/>
        <v>1418.0792249089407</v>
      </c>
      <c r="BF30" s="222">
        <f t="shared" ca="1" si="27"/>
        <v>1462.5680855198918</v>
      </c>
      <c r="BG30" s="223">
        <f t="shared" ca="1" si="27"/>
        <v>1506.8085441734015</v>
      </c>
      <c r="BH30" s="223">
        <f t="shared" ca="1" si="27"/>
        <v>1551.85144020711</v>
      </c>
      <c r="BI30" s="223">
        <f t="shared" ca="1" si="27"/>
        <v>1597.7033294159069</v>
      </c>
      <c r="BJ30" s="223">
        <f t="shared" ca="1" si="27"/>
        <v>1644.3708196534999</v>
      </c>
      <c r="BK30" s="223">
        <f t="shared" ca="1" si="27"/>
        <v>1691.8605712373781</v>
      </c>
      <c r="BL30" s="223">
        <f t="shared" ca="1" si="27"/>
        <v>1740.1792973568763</v>
      </c>
      <c r="BM30" s="223">
        <f t="shared" ca="1" si="27"/>
        <v>1798.3337644843648</v>
      </c>
      <c r="BN30" s="223">
        <f t="shared" ca="1" si="27"/>
        <v>1848.3307927895871</v>
      </c>
      <c r="BO30" s="223">
        <f t="shared" ca="1" si="27"/>
        <v>1899.1772565571707</v>
      </c>
      <c r="BP30" s="223">
        <f t="shared" ca="1" si="27"/>
        <v>1947.8800846073343</v>
      </c>
      <c r="BQ30" s="223">
        <f t="shared" ca="1" si="27"/>
        <v>2000.4462607198147</v>
      </c>
      <c r="BR30" s="222">
        <f t="shared" ca="1" si="27"/>
        <v>2053.8828240610401</v>
      </c>
    </row>
    <row r="31" spans="1:70" s="14" customFormat="1" x14ac:dyDescent="0.25">
      <c r="A31" s="5"/>
      <c r="B31" s="5"/>
      <c r="C31" s="181"/>
      <c r="E31" s="175"/>
      <c r="F31" s="175"/>
      <c r="G31" s="175"/>
      <c r="H31" s="175"/>
      <c r="I31" s="175"/>
      <c r="V31" s="175"/>
      <c r="AH31" s="175"/>
      <c r="AT31" s="175"/>
      <c r="BF31" s="175"/>
      <c r="BR31" s="175"/>
    </row>
    <row r="32" spans="1:70" s="238" customFormat="1" ht="12" x14ac:dyDescent="0.25">
      <c r="A32" s="13"/>
      <c r="B32" s="5"/>
      <c r="C32" s="235" t="s">
        <v>194</v>
      </c>
      <c r="D32" s="236"/>
      <c r="E32" s="237" t="str">
        <f ca="1">IF(ABS(E20-E26-E30)&lt;0.0001,"✔","✕")</f>
        <v>✔</v>
      </c>
      <c r="F32" s="237" t="str">
        <f t="shared" ref="F32:BQ32" ca="1" si="28">IF(ABS(F20-F26-F30)&lt;0.0001,"✔","✕")</f>
        <v>✔</v>
      </c>
      <c r="G32" s="237" t="str">
        <f t="shared" ca="1" si="28"/>
        <v>✔</v>
      </c>
      <c r="H32" s="237" t="str">
        <f t="shared" ca="1" si="28"/>
        <v>✔</v>
      </c>
      <c r="I32" s="237" t="str">
        <f t="shared" ca="1" si="28"/>
        <v>✔</v>
      </c>
      <c r="J32" s="235"/>
      <c r="K32" s="237" t="str">
        <f t="shared" ca="1" si="28"/>
        <v>✔</v>
      </c>
      <c r="L32" s="237" t="str">
        <f t="shared" ca="1" si="28"/>
        <v>✔</v>
      </c>
      <c r="M32" s="237" t="str">
        <f t="shared" ca="1" si="28"/>
        <v>✔</v>
      </c>
      <c r="N32" s="237" t="str">
        <f t="shared" ca="1" si="28"/>
        <v>✔</v>
      </c>
      <c r="O32" s="237" t="str">
        <f t="shared" ca="1" si="28"/>
        <v>✔</v>
      </c>
      <c r="P32" s="237" t="str">
        <f t="shared" ca="1" si="28"/>
        <v>✔</v>
      </c>
      <c r="Q32" s="237" t="str">
        <f t="shared" ca="1" si="28"/>
        <v>✔</v>
      </c>
      <c r="R32" s="237" t="str">
        <f t="shared" ca="1" si="28"/>
        <v>✔</v>
      </c>
      <c r="S32" s="237" t="str">
        <f t="shared" ca="1" si="28"/>
        <v>✔</v>
      </c>
      <c r="T32" s="237" t="str">
        <f t="shared" ca="1" si="28"/>
        <v>✔</v>
      </c>
      <c r="U32" s="237" t="str">
        <f t="shared" ca="1" si="28"/>
        <v>✔</v>
      </c>
      <c r="V32" s="237" t="str">
        <f t="shared" ca="1" si="28"/>
        <v>✔</v>
      </c>
      <c r="W32" s="237" t="str">
        <f t="shared" ca="1" si="28"/>
        <v>✔</v>
      </c>
      <c r="X32" s="237" t="str">
        <f t="shared" ca="1" si="28"/>
        <v>✔</v>
      </c>
      <c r="Y32" s="237" t="str">
        <f t="shared" ca="1" si="28"/>
        <v>✔</v>
      </c>
      <c r="Z32" s="237" t="str">
        <f t="shared" ca="1" si="28"/>
        <v>✔</v>
      </c>
      <c r="AA32" s="237" t="str">
        <f t="shared" ca="1" si="28"/>
        <v>✔</v>
      </c>
      <c r="AB32" s="237" t="str">
        <f t="shared" ca="1" si="28"/>
        <v>✔</v>
      </c>
      <c r="AC32" s="237" t="str">
        <f t="shared" ca="1" si="28"/>
        <v>✔</v>
      </c>
      <c r="AD32" s="237" t="str">
        <f t="shared" ca="1" si="28"/>
        <v>✔</v>
      </c>
      <c r="AE32" s="237" t="str">
        <f t="shared" ca="1" si="28"/>
        <v>✔</v>
      </c>
      <c r="AF32" s="237" t="str">
        <f t="shared" ca="1" si="28"/>
        <v>✔</v>
      </c>
      <c r="AG32" s="237" t="str">
        <f t="shared" ca="1" si="28"/>
        <v>✔</v>
      </c>
      <c r="AH32" s="237" t="str">
        <f t="shared" ca="1" si="28"/>
        <v>✔</v>
      </c>
      <c r="AI32" s="237" t="str">
        <f t="shared" ca="1" si="28"/>
        <v>✔</v>
      </c>
      <c r="AJ32" s="237" t="str">
        <f t="shared" ca="1" si="28"/>
        <v>✔</v>
      </c>
      <c r="AK32" s="237" t="str">
        <f t="shared" ca="1" si="28"/>
        <v>✔</v>
      </c>
      <c r="AL32" s="237" t="str">
        <f t="shared" ca="1" si="28"/>
        <v>✔</v>
      </c>
      <c r="AM32" s="237" t="str">
        <f t="shared" ca="1" si="28"/>
        <v>✔</v>
      </c>
      <c r="AN32" s="237" t="str">
        <f t="shared" ca="1" si="28"/>
        <v>✔</v>
      </c>
      <c r="AO32" s="237" t="str">
        <f t="shared" ca="1" si="28"/>
        <v>✔</v>
      </c>
      <c r="AP32" s="237" t="str">
        <f t="shared" ca="1" si="28"/>
        <v>✔</v>
      </c>
      <c r="AQ32" s="237" t="str">
        <f t="shared" ca="1" si="28"/>
        <v>✔</v>
      </c>
      <c r="AR32" s="237" t="str">
        <f t="shared" ca="1" si="28"/>
        <v>✔</v>
      </c>
      <c r="AS32" s="237" t="str">
        <f t="shared" ca="1" si="28"/>
        <v>✔</v>
      </c>
      <c r="AT32" s="237" t="str">
        <f t="shared" ca="1" si="28"/>
        <v>✔</v>
      </c>
      <c r="AU32" s="237" t="str">
        <f t="shared" ca="1" si="28"/>
        <v>✔</v>
      </c>
      <c r="AV32" s="237" t="str">
        <f t="shared" ca="1" si="28"/>
        <v>✔</v>
      </c>
      <c r="AW32" s="237" t="str">
        <f t="shared" ca="1" si="28"/>
        <v>✔</v>
      </c>
      <c r="AX32" s="237" t="str">
        <f t="shared" ca="1" si="28"/>
        <v>✔</v>
      </c>
      <c r="AY32" s="237" t="str">
        <f t="shared" ca="1" si="28"/>
        <v>✔</v>
      </c>
      <c r="AZ32" s="237" t="str">
        <f t="shared" ca="1" si="28"/>
        <v>✔</v>
      </c>
      <c r="BA32" s="237" t="str">
        <f t="shared" ca="1" si="28"/>
        <v>✔</v>
      </c>
      <c r="BB32" s="237" t="str">
        <f t="shared" ca="1" si="28"/>
        <v>✔</v>
      </c>
      <c r="BC32" s="237" t="str">
        <f t="shared" ca="1" si="28"/>
        <v>✔</v>
      </c>
      <c r="BD32" s="237" t="str">
        <f t="shared" ca="1" si="28"/>
        <v>✔</v>
      </c>
      <c r="BE32" s="237" t="str">
        <f t="shared" ca="1" si="28"/>
        <v>✔</v>
      </c>
      <c r="BF32" s="237" t="str">
        <f t="shared" ca="1" si="28"/>
        <v>✔</v>
      </c>
      <c r="BG32" s="237" t="str">
        <f t="shared" ca="1" si="28"/>
        <v>✔</v>
      </c>
      <c r="BH32" s="237" t="str">
        <f t="shared" ca="1" si="28"/>
        <v>✔</v>
      </c>
      <c r="BI32" s="237" t="str">
        <f t="shared" ca="1" si="28"/>
        <v>✔</v>
      </c>
      <c r="BJ32" s="237" t="str">
        <f t="shared" ca="1" si="28"/>
        <v>✔</v>
      </c>
      <c r="BK32" s="237" t="str">
        <f t="shared" ca="1" si="28"/>
        <v>✔</v>
      </c>
      <c r="BL32" s="237" t="str">
        <f t="shared" ca="1" si="28"/>
        <v>✔</v>
      </c>
      <c r="BM32" s="237" t="str">
        <f t="shared" ca="1" si="28"/>
        <v>✔</v>
      </c>
      <c r="BN32" s="237" t="str">
        <f t="shared" ca="1" si="28"/>
        <v>✔</v>
      </c>
      <c r="BO32" s="237" t="str">
        <f t="shared" ca="1" si="28"/>
        <v>✔</v>
      </c>
      <c r="BP32" s="237" t="str">
        <f t="shared" ca="1" si="28"/>
        <v>✔</v>
      </c>
      <c r="BQ32" s="237" t="str">
        <f t="shared" ca="1" si="28"/>
        <v>✔</v>
      </c>
      <c r="BR32" s="237" t="str">
        <f t="shared" ref="BR32" ca="1" si="29">IF(ABS(BR20-BR26-BR30)&lt;0.0001,"✔","✕")</f>
        <v>✔</v>
      </c>
    </row>
  </sheetData>
  <sheetProtection algorithmName="SHA-512" hashValue="j8xmg6L9c1JQrk1deFAoI4dhfIbng51x1fs9ChfK6FC/BlUrRJpp6AJ2ZyC3UKaQEzwO8vLMu/tynwhRmnDvDw==" saltValue="R0l8NB6d7JtW9Ze6xpgmmQ==" spinCount="100000" sheet="1" objects="1" scenarios="1" selectLockedCells="1" selectUnlockedCells="1"/>
  <mergeCells count="1">
    <mergeCell ref="C3:C4"/>
  </mergeCells>
  <conditionalFormatting sqref="E32:I32">
    <cfRule type="expression" dxfId="14" priority="1">
      <formula>IF(E32="✕",TRUE,FALSE)</formula>
    </cfRule>
  </conditionalFormatting>
  <conditionalFormatting sqref="K32:BR32">
    <cfRule type="expression" dxfId="13" priority="2">
      <formula>IF(K32="✕",TRUE,FALSE)</formula>
    </cfRule>
  </conditionalFormatting>
  <pageMargins left="0.7" right="0.7" top="0.75" bottom="0.75" header="0.3" footer="0.3"/>
  <pageSetup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DB6D8-EDDE-40C8-B718-C4BC93CF6078}">
  <sheetPr codeName="Sheet7">
    <tabColor theme="9" tint="0.79998168889431442"/>
    <outlinePr showOutlineSymbols="0"/>
  </sheetPr>
  <dimension ref="A1:BR39"/>
  <sheetViews>
    <sheetView showGridLines="0" showRowColHeaders="0" showZeros="0" showOutlineSymbols="0" workbookViewId="0">
      <pane xSplit="3" ySplit="4" topLeftCell="D5" activePane="bottomRight" state="frozen"/>
      <selection activeCell="I17" sqref="I17"/>
      <selection pane="topRight" activeCell="I17" sqref="I17"/>
      <selection pane="bottomLeft" activeCell="I17" sqref="I17"/>
      <selection pane="bottomRight"/>
    </sheetView>
  </sheetViews>
  <sheetFormatPr defaultColWidth="9.109375" defaultRowHeight="12.6" x14ac:dyDescent="0.25"/>
  <cols>
    <col min="1" max="1" width="3" style="5" customWidth="1"/>
    <col min="2" max="2" width="1.6640625" style="67" customWidth="1"/>
    <col min="3" max="3" width="22" style="34" customWidth="1"/>
    <col min="4" max="4" width="1.109375" style="34" customWidth="1"/>
    <col min="5" max="9" width="8.33203125" style="34" customWidth="1"/>
    <col min="10" max="10" width="2.21875" style="34" customWidth="1"/>
    <col min="11" max="70" width="8.33203125" style="34" customWidth="1"/>
    <col min="71" max="16384" width="9.109375" style="34"/>
  </cols>
  <sheetData>
    <row r="1" spans="1:70" s="2" customFormat="1" ht="10.199999999999999" x14ac:dyDescent="0.2">
      <c r="A1" s="1" t="s">
        <v>0</v>
      </c>
      <c r="N1" s="3"/>
      <c r="R1" s="4"/>
      <c r="T1" s="4"/>
    </row>
    <row r="2" spans="1:70" s="5" customFormat="1" ht="10.199999999999999" x14ac:dyDescent="0.2">
      <c r="B2" s="67"/>
      <c r="D2" s="37"/>
      <c r="E2" s="37"/>
      <c r="F2" s="37"/>
      <c r="G2" s="37"/>
      <c r="H2" s="37"/>
      <c r="I2" s="37"/>
      <c r="J2" s="37"/>
    </row>
    <row r="3" spans="1:70" s="5" customFormat="1" ht="21" customHeight="1" x14ac:dyDescent="0.2">
      <c r="B3" s="67"/>
      <c r="C3" s="579" t="s">
        <v>176</v>
      </c>
      <c r="D3" s="37"/>
      <c r="H3" s="37"/>
      <c r="I3" s="37"/>
      <c r="J3" s="37"/>
    </row>
    <row r="4" spans="1:70" s="115" customFormat="1" ht="13.8" x14ac:dyDescent="0.3">
      <c r="A4" s="40"/>
      <c r="C4" s="579"/>
      <c r="D4" s="42"/>
      <c r="E4" s="172">
        <v>1</v>
      </c>
      <c r="F4" s="172">
        <v>2</v>
      </c>
      <c r="G4" s="172">
        <v>3</v>
      </c>
      <c r="H4" s="172">
        <v>4</v>
      </c>
      <c r="I4" s="172">
        <v>5</v>
      </c>
      <c r="J4" s="210"/>
      <c r="K4" s="10">
        <v>1</v>
      </c>
      <c r="L4" s="10">
        <v>2</v>
      </c>
      <c r="M4" s="10">
        <v>3</v>
      </c>
      <c r="N4" s="10">
        <v>4</v>
      </c>
      <c r="O4" s="10">
        <v>5</v>
      </c>
      <c r="P4" s="10">
        <v>6</v>
      </c>
      <c r="Q4" s="10">
        <v>7</v>
      </c>
      <c r="R4" s="10">
        <v>8</v>
      </c>
      <c r="S4" s="10">
        <v>9</v>
      </c>
      <c r="T4" s="10">
        <v>10</v>
      </c>
      <c r="U4" s="10">
        <v>11</v>
      </c>
      <c r="V4" s="173">
        <v>12</v>
      </c>
      <c r="W4" s="10">
        <v>13</v>
      </c>
      <c r="X4" s="10">
        <v>14</v>
      </c>
      <c r="Y4" s="10">
        <v>15</v>
      </c>
      <c r="Z4" s="10">
        <v>16</v>
      </c>
      <c r="AA4" s="10">
        <v>17</v>
      </c>
      <c r="AB4" s="10">
        <v>18</v>
      </c>
      <c r="AC4" s="10">
        <v>19</v>
      </c>
      <c r="AD4" s="10">
        <v>20</v>
      </c>
      <c r="AE4" s="10">
        <v>21</v>
      </c>
      <c r="AF4" s="10">
        <v>22</v>
      </c>
      <c r="AG4" s="10">
        <v>23</v>
      </c>
      <c r="AH4" s="173">
        <v>24</v>
      </c>
      <c r="AI4" s="10">
        <v>25</v>
      </c>
      <c r="AJ4" s="10">
        <v>26</v>
      </c>
      <c r="AK4" s="10">
        <v>27</v>
      </c>
      <c r="AL4" s="10">
        <v>28</v>
      </c>
      <c r="AM4" s="10">
        <v>29</v>
      </c>
      <c r="AN4" s="10">
        <v>30</v>
      </c>
      <c r="AO4" s="10">
        <v>31</v>
      </c>
      <c r="AP4" s="10">
        <v>32</v>
      </c>
      <c r="AQ4" s="10">
        <v>33</v>
      </c>
      <c r="AR4" s="10">
        <v>34</v>
      </c>
      <c r="AS4" s="10">
        <v>35</v>
      </c>
      <c r="AT4" s="173">
        <v>36</v>
      </c>
      <c r="AU4" s="10">
        <v>37</v>
      </c>
      <c r="AV4" s="10">
        <v>38</v>
      </c>
      <c r="AW4" s="10">
        <v>39</v>
      </c>
      <c r="AX4" s="10">
        <v>40</v>
      </c>
      <c r="AY4" s="10">
        <v>41</v>
      </c>
      <c r="AZ4" s="10">
        <v>42</v>
      </c>
      <c r="BA4" s="10">
        <v>43</v>
      </c>
      <c r="BB4" s="10">
        <v>44</v>
      </c>
      <c r="BC4" s="10">
        <v>45</v>
      </c>
      <c r="BD4" s="10">
        <v>46</v>
      </c>
      <c r="BE4" s="10">
        <v>47</v>
      </c>
      <c r="BF4" s="173">
        <v>48</v>
      </c>
      <c r="BG4" s="10">
        <v>49</v>
      </c>
      <c r="BH4" s="10">
        <v>50</v>
      </c>
      <c r="BI4" s="10">
        <v>51</v>
      </c>
      <c r="BJ4" s="10">
        <v>52</v>
      </c>
      <c r="BK4" s="10">
        <v>53</v>
      </c>
      <c r="BL4" s="10">
        <v>54</v>
      </c>
      <c r="BM4" s="10">
        <v>55</v>
      </c>
      <c r="BN4" s="10">
        <v>56</v>
      </c>
      <c r="BO4" s="10">
        <v>57</v>
      </c>
      <c r="BP4" s="10">
        <v>58</v>
      </c>
      <c r="BQ4" s="10">
        <v>59</v>
      </c>
      <c r="BR4" s="173">
        <v>60</v>
      </c>
    </row>
    <row r="5" spans="1:70" s="14" customFormat="1" ht="6" customHeight="1" x14ac:dyDescent="0.25">
      <c r="A5" s="13"/>
      <c r="B5" s="201"/>
      <c r="E5" s="174"/>
      <c r="F5" s="174"/>
      <c r="G5" s="174"/>
      <c r="H5" s="174"/>
      <c r="I5" s="174"/>
      <c r="J5" s="210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74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74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74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74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74"/>
    </row>
    <row r="6" spans="1:70" s="14" customFormat="1" ht="13.2" x14ac:dyDescent="0.3">
      <c r="A6" s="13"/>
      <c r="B6" s="201"/>
      <c r="C6" s="185" t="s">
        <v>177</v>
      </c>
      <c r="E6" s="211">
        <f ca="1">SUM(K6:V6)</f>
        <v>151.33196041070914</v>
      </c>
      <c r="F6" s="211">
        <f ca="1">SUM(W6:AH6)</f>
        <v>308.05870817548504</v>
      </c>
      <c r="G6" s="211">
        <f ca="1">SUM(AI6:AT6)</f>
        <v>391.36555308885227</v>
      </c>
      <c r="H6" s="211">
        <f ca="1">SUM(AU6:BF6)</f>
        <v>483.14439086469434</v>
      </c>
      <c r="I6" s="211">
        <f ca="1">SUM(BG6:BR6)</f>
        <v>591.31473854114824</v>
      </c>
      <c r="J6" s="210"/>
      <c r="K6" s="212">
        <f ca="1">Income!K26</f>
        <v>14.442082324939163</v>
      </c>
      <c r="L6" s="213">
        <f ca="1">Income!L26</f>
        <v>13.87272907141366</v>
      </c>
      <c r="M6" s="213">
        <f ca="1">Income!M26</f>
        <v>14.270551960212348</v>
      </c>
      <c r="N6" s="213">
        <f ca="1">Income!N26</f>
        <v>14.651807332460059</v>
      </c>
      <c r="O6" s="213">
        <f ca="1">Income!O26</f>
        <v>15.282503403038575</v>
      </c>
      <c r="P6" s="213">
        <f ca="1">Income!P26</f>
        <v>11.528529932997206</v>
      </c>
      <c r="Q6" s="213">
        <f ca="1">Income!Q26</f>
        <v>11.93039776835027</v>
      </c>
      <c r="R6" s="213">
        <f ca="1">Income!R26</f>
        <v>12.594153184629533</v>
      </c>
      <c r="S6" s="213">
        <f ca="1">Income!S26</f>
        <v>13.265457713863933</v>
      </c>
      <c r="T6" s="213">
        <f ca="1">Income!T26</f>
        <v>13.944381534856436</v>
      </c>
      <c r="U6" s="213">
        <f ca="1">Income!U26</f>
        <v>17.030995423970371</v>
      </c>
      <c r="V6" s="211">
        <f ca="1">Income!V26</f>
        <v>-1.4816292400224362</v>
      </c>
      <c r="W6" s="212">
        <f ca="1">Income!W26</f>
        <v>21.664254261088033</v>
      </c>
      <c r="X6" s="213">
        <f ca="1">Income!X26</f>
        <v>22.7968457968054</v>
      </c>
      <c r="Y6" s="213">
        <f ca="1">Income!Y26</f>
        <v>23.492698631410398</v>
      </c>
      <c r="Z6" s="213">
        <f ca="1">Income!Z26</f>
        <v>24.179363953450316</v>
      </c>
      <c r="AA6" s="213">
        <f ca="1">Income!AA26</f>
        <v>24.792187545634931</v>
      </c>
      <c r="AB6" s="213">
        <f ca="1">Income!AB26</f>
        <v>25.410057185914336</v>
      </c>
      <c r="AC6" s="213">
        <f ca="1">Income!AC26</f>
        <v>26.033013165482654</v>
      </c>
      <c r="AD6" s="213">
        <f ca="1">Income!AD26</f>
        <v>26.661096090234953</v>
      </c>
      <c r="AE6" s="213">
        <f ca="1">Income!AE26</f>
        <v>27.294346883184712</v>
      </c>
      <c r="AF6" s="213">
        <f ca="1">Income!AF26</f>
        <v>27.932806786900226</v>
      </c>
      <c r="AG6" s="213">
        <f ca="1">Income!AG26</f>
        <v>28.576517365958786</v>
      </c>
      <c r="AH6" s="211">
        <f ca="1">Income!AH26</f>
        <v>29.225520509420271</v>
      </c>
      <c r="AI6" s="212">
        <f ca="1">Income!AI26</f>
        <v>28.884186868905335</v>
      </c>
      <c r="AJ6" s="213">
        <f ca="1">Income!AJ26</f>
        <v>29.543902118759402</v>
      </c>
      <c r="AK6" s="213">
        <f ca="1">Income!AK26</f>
        <v>30.209037572103277</v>
      </c>
      <c r="AL6" s="213">
        <f ca="1">Income!AL26</f>
        <v>30.879636441034542</v>
      </c>
      <c r="AM6" s="213">
        <f ca="1">Income!AM26</f>
        <v>31.555742274783391</v>
      </c>
      <c r="AN6" s="213">
        <f ca="1">Income!AN26</f>
        <v>32.237398962299849</v>
      </c>
      <c r="AO6" s="213">
        <f ca="1">Income!AO26</f>
        <v>32.924650734861402</v>
      </c>
      <c r="AP6" s="213">
        <f ca="1">Income!AP26</f>
        <v>33.617542168700304</v>
      </c>
      <c r="AQ6" s="213">
        <f ca="1">Income!AQ26</f>
        <v>34.316118187650488</v>
      </c>
      <c r="AR6" s="213">
        <f ca="1">Income!AR26</f>
        <v>35.020424065814893</v>
      </c>
      <c r="AS6" s="213">
        <f ca="1">Income!AS26</f>
        <v>35.730505430252606</v>
      </c>
      <c r="AT6" s="211">
        <f ca="1">Income!AT26</f>
        <v>36.446408263686763</v>
      </c>
      <c r="AU6" s="212">
        <f ca="1">Income!AU26</f>
        <v>36.148487394732612</v>
      </c>
      <c r="AV6" s="213">
        <f ca="1">Income!AV26</f>
        <v>36.876172550646992</v>
      </c>
      <c r="AW6" s="213">
        <f ca="1">Income!AW26</f>
        <v>37.609819285097181</v>
      </c>
      <c r="AX6" s="213">
        <f ca="1">Income!AX26</f>
        <v>38.349475030952078</v>
      </c>
      <c r="AY6" s="213">
        <f ca="1">Income!AY26</f>
        <v>39.095187590594215</v>
      </c>
      <c r="AZ6" s="213">
        <f ca="1">Income!AZ26</f>
        <v>39.847005138752515</v>
      </c>
      <c r="BA6" s="213">
        <f ca="1">Income!BA26</f>
        <v>40.604976225357134</v>
      </c>
      <c r="BB6" s="213">
        <f ca="1">Income!BB26</f>
        <v>41.369149778415682</v>
      </c>
      <c r="BC6" s="213">
        <f ca="1">Income!BC26</f>
        <v>42.139575106910996</v>
      </c>
      <c r="BD6" s="213">
        <f ca="1">Income!BD26</f>
        <v>42.916301903721426</v>
      </c>
      <c r="BE6" s="213">
        <f ca="1">Income!BE26</f>
        <v>43.69938024856242</v>
      </c>
      <c r="BF6" s="211">
        <f ca="1">Income!BF26</f>
        <v>44.488860610951143</v>
      </c>
      <c r="BG6" s="212">
        <f ca="1">Income!BG26</f>
        <v>44.240458653509776</v>
      </c>
      <c r="BH6" s="213">
        <f ca="1">Income!BH26</f>
        <v>45.042896033708416</v>
      </c>
      <c r="BI6" s="213">
        <f ca="1">Income!BI26</f>
        <v>45.851889208796841</v>
      </c>
      <c r="BJ6" s="213">
        <f ca="1">Income!BJ26</f>
        <v>46.667490237593007</v>
      </c>
      <c r="BK6" s="213">
        <f ca="1">Income!BK26</f>
        <v>47.489751583878224</v>
      </c>
      <c r="BL6" s="213">
        <f ca="1">Income!BL26</f>
        <v>48.318726119498344</v>
      </c>
      <c r="BM6" s="213">
        <f ca="1">Income!BM26</f>
        <v>58.154467127488509</v>
      </c>
      <c r="BN6" s="213">
        <f ca="1">Income!BN26</f>
        <v>49.997028305222337</v>
      </c>
      <c r="BO6" s="213">
        <f ca="1">Income!BO26</f>
        <v>50.846463767583629</v>
      </c>
      <c r="BP6" s="213">
        <f ca="1">Income!BP26</f>
        <v>48.702828050163518</v>
      </c>
      <c r="BQ6" s="213">
        <f ca="1">Income!BQ26</f>
        <v>52.566176112480484</v>
      </c>
      <c r="BR6" s="211">
        <f ca="1">Income!BR26</f>
        <v>53.436563341225252</v>
      </c>
    </row>
    <row r="7" spans="1:70" s="14" customFormat="1" ht="13.2" x14ac:dyDescent="0.3">
      <c r="A7" s="40"/>
      <c r="B7" s="214"/>
      <c r="C7" s="185" t="s">
        <v>178</v>
      </c>
      <c r="E7" s="211">
        <f t="shared" ref="E7:E33" si="0">SUM(K7:V7)</f>
        <v>89.999999999999986</v>
      </c>
      <c r="F7" s="211">
        <f t="shared" ref="F7:F33" si="1">SUM(W7:AH7)</f>
        <v>0</v>
      </c>
      <c r="G7" s="211">
        <f t="shared" ref="G7:G33" si="2">SUM(AI7:AT7)</f>
        <v>0</v>
      </c>
      <c r="H7" s="211">
        <f t="shared" ref="H7:H33" si="3">SUM(AU7:BF7)</f>
        <v>0</v>
      </c>
      <c r="I7" s="211">
        <f t="shared" ref="I7:I33" si="4">SUM(BG7:BR7)</f>
        <v>0</v>
      </c>
      <c r="J7" s="210"/>
      <c r="K7" s="212">
        <f>Income!K21</f>
        <v>4</v>
      </c>
      <c r="L7" s="213">
        <f>Income!L21</f>
        <v>4</v>
      </c>
      <c r="M7" s="213">
        <f>Income!M21</f>
        <v>4</v>
      </c>
      <c r="N7" s="213">
        <f>Income!N21</f>
        <v>4</v>
      </c>
      <c r="O7" s="213">
        <f>Income!O21</f>
        <v>4</v>
      </c>
      <c r="P7" s="213">
        <f>Income!P21</f>
        <v>11.142857142857142</v>
      </c>
      <c r="Q7" s="213">
        <f>Income!Q21</f>
        <v>11.142857142857142</v>
      </c>
      <c r="R7" s="213">
        <f>Income!R21</f>
        <v>11.142857142857142</v>
      </c>
      <c r="S7" s="213">
        <f>Income!S21</f>
        <v>11.142857142857142</v>
      </c>
      <c r="T7" s="213">
        <f>Income!T21</f>
        <v>11.142857142857142</v>
      </c>
      <c r="U7" s="213">
        <f>Income!U21</f>
        <v>7.1428571428571432</v>
      </c>
      <c r="V7" s="211">
        <f>Income!V21</f>
        <v>7.1428571428571432</v>
      </c>
      <c r="W7" s="212">
        <f>Income!W21</f>
        <v>0</v>
      </c>
      <c r="X7" s="213">
        <f>Income!X21</f>
        <v>0</v>
      </c>
      <c r="Y7" s="213">
        <f>Income!Y21</f>
        <v>0</v>
      </c>
      <c r="Z7" s="213">
        <f>Income!Z21</f>
        <v>0</v>
      </c>
      <c r="AA7" s="213">
        <f>Income!AA21</f>
        <v>0</v>
      </c>
      <c r="AB7" s="213">
        <f>Income!AB21</f>
        <v>0</v>
      </c>
      <c r="AC7" s="213">
        <f>Income!AC21</f>
        <v>0</v>
      </c>
      <c r="AD7" s="213">
        <f>Income!AD21</f>
        <v>0</v>
      </c>
      <c r="AE7" s="213">
        <f>Income!AE21</f>
        <v>0</v>
      </c>
      <c r="AF7" s="213">
        <f>Income!AF21</f>
        <v>0</v>
      </c>
      <c r="AG7" s="213">
        <f>Income!AG21</f>
        <v>0</v>
      </c>
      <c r="AH7" s="211">
        <f>Income!AH21</f>
        <v>0</v>
      </c>
      <c r="AI7" s="212">
        <f>Income!AI21</f>
        <v>0</v>
      </c>
      <c r="AJ7" s="213">
        <f>Income!AJ21</f>
        <v>0</v>
      </c>
      <c r="AK7" s="213">
        <f>Income!AK21</f>
        <v>0</v>
      </c>
      <c r="AL7" s="213">
        <f>Income!AL21</f>
        <v>0</v>
      </c>
      <c r="AM7" s="213">
        <f>Income!AM21</f>
        <v>0</v>
      </c>
      <c r="AN7" s="213">
        <f>Income!AN21</f>
        <v>0</v>
      </c>
      <c r="AO7" s="213">
        <f>Income!AO21</f>
        <v>0</v>
      </c>
      <c r="AP7" s="213">
        <f>Income!AP21</f>
        <v>0</v>
      </c>
      <c r="AQ7" s="213">
        <f>Income!AQ21</f>
        <v>0</v>
      </c>
      <c r="AR7" s="213">
        <f>Income!AR21</f>
        <v>0</v>
      </c>
      <c r="AS7" s="213">
        <f>Income!AS21</f>
        <v>0</v>
      </c>
      <c r="AT7" s="211">
        <f>Income!AT21</f>
        <v>0</v>
      </c>
      <c r="AU7" s="212">
        <f>Income!AU21</f>
        <v>0</v>
      </c>
      <c r="AV7" s="213">
        <f>Income!AV21</f>
        <v>0</v>
      </c>
      <c r="AW7" s="213">
        <f>Income!AW21</f>
        <v>0</v>
      </c>
      <c r="AX7" s="213">
        <f>Income!AX21</f>
        <v>0</v>
      </c>
      <c r="AY7" s="213">
        <f>Income!AY21</f>
        <v>0</v>
      </c>
      <c r="AZ7" s="213">
        <f>Income!AZ21</f>
        <v>0</v>
      </c>
      <c r="BA7" s="213">
        <f>Income!BA21</f>
        <v>0</v>
      </c>
      <c r="BB7" s="213">
        <f>Income!BB21</f>
        <v>0</v>
      </c>
      <c r="BC7" s="213">
        <f>Income!BC21</f>
        <v>0</v>
      </c>
      <c r="BD7" s="213">
        <f>Income!BD21</f>
        <v>0</v>
      </c>
      <c r="BE7" s="213">
        <f>Income!BE21</f>
        <v>0</v>
      </c>
      <c r="BF7" s="211">
        <f>Income!BF21</f>
        <v>0</v>
      </c>
      <c r="BG7" s="212">
        <f>Income!BG21</f>
        <v>0</v>
      </c>
      <c r="BH7" s="213">
        <f>Income!BH21</f>
        <v>0</v>
      </c>
      <c r="BI7" s="213">
        <f>Income!BI21</f>
        <v>0</v>
      </c>
      <c r="BJ7" s="213">
        <f>Income!BJ21</f>
        <v>0</v>
      </c>
      <c r="BK7" s="213">
        <f>Income!BK21</f>
        <v>0</v>
      </c>
      <c r="BL7" s="213">
        <f>Income!BL21</f>
        <v>0</v>
      </c>
      <c r="BM7" s="213">
        <f>Income!BM21</f>
        <v>0</v>
      </c>
      <c r="BN7" s="213">
        <f>Income!BN21</f>
        <v>0</v>
      </c>
      <c r="BO7" s="213">
        <f>Income!BO21</f>
        <v>0</v>
      </c>
      <c r="BP7" s="213">
        <f>Income!BP21</f>
        <v>0</v>
      </c>
      <c r="BQ7" s="213">
        <f>Income!BQ21</f>
        <v>0</v>
      </c>
      <c r="BR7" s="211">
        <f>Income!BR21</f>
        <v>0</v>
      </c>
    </row>
    <row r="8" spans="1:70" s="14" customFormat="1" ht="13.2" x14ac:dyDescent="0.3">
      <c r="A8" s="13"/>
      <c r="B8" s="201"/>
      <c r="C8" s="178" t="s">
        <v>179</v>
      </c>
      <c r="E8" s="215"/>
      <c r="F8" s="215"/>
      <c r="G8" s="215"/>
      <c r="H8" s="215"/>
      <c r="I8" s="215"/>
      <c r="J8" s="210"/>
      <c r="K8" s="216">
        <f>-CapEx!K52</f>
        <v>0</v>
      </c>
      <c r="L8" s="216">
        <f>-CapEx!L52</f>
        <v>0</v>
      </c>
      <c r="M8" s="216">
        <f>-CapEx!M52</f>
        <v>0</v>
      </c>
      <c r="N8" s="216">
        <f>-CapEx!N52</f>
        <v>0</v>
      </c>
      <c r="O8" s="216">
        <f>-CapEx!O52</f>
        <v>0</v>
      </c>
      <c r="P8" s="216">
        <f>-CapEx!P52</f>
        <v>0</v>
      </c>
      <c r="Q8" s="216">
        <f>-CapEx!Q52</f>
        <v>0</v>
      </c>
      <c r="R8" s="216">
        <f>-CapEx!R52</f>
        <v>0</v>
      </c>
      <c r="S8" s="216">
        <f>-CapEx!S52</f>
        <v>0</v>
      </c>
      <c r="T8" s="216">
        <f>-CapEx!T52</f>
        <v>0</v>
      </c>
      <c r="U8" s="216">
        <f>-CapEx!U52</f>
        <v>0</v>
      </c>
      <c r="V8" s="215">
        <f>-CapEx!V52</f>
        <v>32</v>
      </c>
      <c r="W8" s="216">
        <f>-CapEx!W52</f>
        <v>0</v>
      </c>
      <c r="X8" s="216">
        <f>-CapEx!X52</f>
        <v>0</v>
      </c>
      <c r="Y8" s="216">
        <f>-CapEx!Y52</f>
        <v>0</v>
      </c>
      <c r="Z8" s="216">
        <f>-CapEx!Z52</f>
        <v>0</v>
      </c>
      <c r="AA8" s="216">
        <f>-CapEx!AA52</f>
        <v>0</v>
      </c>
      <c r="AB8" s="216">
        <f>-CapEx!AB52</f>
        <v>0</v>
      </c>
      <c r="AC8" s="216">
        <f>-CapEx!AC52</f>
        <v>0</v>
      </c>
      <c r="AD8" s="216">
        <f>-CapEx!AD52</f>
        <v>0</v>
      </c>
      <c r="AE8" s="216">
        <f>-CapEx!AE52</f>
        <v>0</v>
      </c>
      <c r="AF8" s="216">
        <f>-CapEx!AF52</f>
        <v>0</v>
      </c>
      <c r="AG8" s="216">
        <f>-CapEx!AG52</f>
        <v>0</v>
      </c>
      <c r="AH8" s="215">
        <f>-CapEx!AH52</f>
        <v>0</v>
      </c>
      <c r="AI8" s="216">
        <f>-CapEx!AI52</f>
        <v>0</v>
      </c>
      <c r="AJ8" s="216">
        <f>-CapEx!AJ52</f>
        <v>0</v>
      </c>
      <c r="AK8" s="216">
        <f>-CapEx!AK52</f>
        <v>0</v>
      </c>
      <c r="AL8" s="216">
        <f>-CapEx!AL52</f>
        <v>0</v>
      </c>
      <c r="AM8" s="216">
        <f>-CapEx!AM52</f>
        <v>0</v>
      </c>
      <c r="AN8" s="216">
        <f>-CapEx!AN52</f>
        <v>0</v>
      </c>
      <c r="AO8" s="216">
        <f>-CapEx!AO52</f>
        <v>0</v>
      </c>
      <c r="AP8" s="216">
        <f>-CapEx!AP52</f>
        <v>0</v>
      </c>
      <c r="AQ8" s="216">
        <f>-CapEx!AQ52</f>
        <v>0</v>
      </c>
      <c r="AR8" s="216">
        <f>-CapEx!AR52</f>
        <v>0</v>
      </c>
      <c r="AS8" s="216">
        <f>-CapEx!AS52</f>
        <v>0</v>
      </c>
      <c r="AT8" s="215">
        <f>-CapEx!AT52</f>
        <v>0</v>
      </c>
      <c r="AU8" s="216">
        <f>-CapEx!AU52</f>
        <v>0</v>
      </c>
      <c r="AV8" s="216">
        <f>-CapEx!AV52</f>
        <v>0</v>
      </c>
      <c r="AW8" s="216">
        <f>-CapEx!AW52</f>
        <v>0</v>
      </c>
      <c r="AX8" s="216">
        <f>-CapEx!AX52</f>
        <v>0</v>
      </c>
      <c r="AY8" s="216">
        <f>-CapEx!AY52</f>
        <v>0</v>
      </c>
      <c r="AZ8" s="216">
        <f>-CapEx!AZ52</f>
        <v>0</v>
      </c>
      <c r="BA8" s="216">
        <f>-CapEx!BA52</f>
        <v>0</v>
      </c>
      <c r="BB8" s="216">
        <f>-CapEx!BB52</f>
        <v>0</v>
      </c>
      <c r="BC8" s="216">
        <f>-CapEx!BC52</f>
        <v>0</v>
      </c>
      <c r="BD8" s="216">
        <f>-CapEx!BD52</f>
        <v>0</v>
      </c>
      <c r="BE8" s="216">
        <f>-CapEx!BE52</f>
        <v>0</v>
      </c>
      <c r="BF8" s="215">
        <f>-CapEx!BF52</f>
        <v>0</v>
      </c>
      <c r="BG8" s="216">
        <f>-CapEx!BG52</f>
        <v>0</v>
      </c>
      <c r="BH8" s="216">
        <f>-CapEx!BH52</f>
        <v>0</v>
      </c>
      <c r="BI8" s="216">
        <f>-CapEx!BI52</f>
        <v>0</v>
      </c>
      <c r="BJ8" s="216">
        <f>-CapEx!BJ52</f>
        <v>0</v>
      </c>
      <c r="BK8" s="216">
        <f>-CapEx!BK52</f>
        <v>0</v>
      </c>
      <c r="BL8" s="216">
        <f>-CapEx!BL52</f>
        <v>0</v>
      </c>
      <c r="BM8" s="216">
        <f>-CapEx!BM52</f>
        <v>-15</v>
      </c>
      <c r="BN8" s="216">
        <f>-CapEx!BN52</f>
        <v>0</v>
      </c>
      <c r="BO8" s="216">
        <f>-CapEx!BO52</f>
        <v>0</v>
      </c>
      <c r="BP8" s="216">
        <f>-CapEx!BP52</f>
        <v>5</v>
      </c>
      <c r="BQ8" s="216">
        <f>-CapEx!BQ52</f>
        <v>0</v>
      </c>
      <c r="BR8" s="215">
        <f>-CapEx!BR52</f>
        <v>0</v>
      </c>
    </row>
    <row r="9" spans="1:70" ht="13.2" x14ac:dyDescent="0.3">
      <c r="A9" s="13"/>
      <c r="B9" s="201"/>
      <c r="C9" s="34" t="s">
        <v>180</v>
      </c>
      <c r="E9" s="217">
        <f t="shared" ref="E9" ca="1" si="5">SUM(K9:V9)</f>
        <v>273.33196041070909</v>
      </c>
      <c r="F9" s="217">
        <f t="shared" ref="F9" ca="1" si="6">SUM(W9:AH9)</f>
        <v>308.05870817548504</v>
      </c>
      <c r="G9" s="217">
        <f t="shared" ref="G9" ca="1" si="7">SUM(AI9:AT9)</f>
        <v>391.36555308885227</v>
      </c>
      <c r="H9" s="217">
        <f t="shared" ref="H9" ca="1" si="8">SUM(AU9:BF9)</f>
        <v>483.14439086469434</v>
      </c>
      <c r="I9" s="217">
        <f t="shared" ref="I9" ca="1" si="9">SUM(BG9:BR9)</f>
        <v>581.31473854114824</v>
      </c>
      <c r="J9" s="210"/>
      <c r="K9" s="212">
        <f ca="1">SUM(K6:K8)</f>
        <v>18.442082324939165</v>
      </c>
      <c r="L9" s="212">
        <f t="shared" ref="L9:BR9" ca="1" si="10">SUM(L6:L8)</f>
        <v>17.872729071413659</v>
      </c>
      <c r="M9" s="212">
        <f t="shared" ca="1" si="10"/>
        <v>18.270551960212348</v>
      </c>
      <c r="N9" s="212">
        <f t="shared" ca="1" si="10"/>
        <v>18.651807332460059</v>
      </c>
      <c r="O9" s="212">
        <f t="shared" ca="1" si="10"/>
        <v>19.282503403038575</v>
      </c>
      <c r="P9" s="212">
        <f t="shared" ca="1" si="10"/>
        <v>22.671387075854348</v>
      </c>
      <c r="Q9" s="212">
        <f t="shared" ca="1" si="10"/>
        <v>23.073254911207414</v>
      </c>
      <c r="R9" s="212">
        <f t="shared" ca="1" si="10"/>
        <v>23.737010327486676</v>
      </c>
      <c r="S9" s="212">
        <f t="shared" ca="1" si="10"/>
        <v>24.408314856721077</v>
      </c>
      <c r="T9" s="212">
        <f t="shared" ca="1" si="10"/>
        <v>25.087238677713579</v>
      </c>
      <c r="U9" s="212">
        <f t="shared" ca="1" si="10"/>
        <v>24.173852566827513</v>
      </c>
      <c r="V9" s="217">
        <f t="shared" ca="1" si="10"/>
        <v>37.66122790283471</v>
      </c>
      <c r="W9" s="212">
        <f t="shared" ca="1" si="10"/>
        <v>21.664254261088033</v>
      </c>
      <c r="X9" s="212">
        <f t="shared" ca="1" si="10"/>
        <v>22.7968457968054</v>
      </c>
      <c r="Y9" s="212">
        <f t="shared" ca="1" si="10"/>
        <v>23.492698631410398</v>
      </c>
      <c r="Z9" s="212">
        <f t="shared" ca="1" si="10"/>
        <v>24.179363953450316</v>
      </c>
      <c r="AA9" s="212">
        <f t="shared" ca="1" si="10"/>
        <v>24.792187545634931</v>
      </c>
      <c r="AB9" s="212">
        <f t="shared" ca="1" si="10"/>
        <v>25.410057185914336</v>
      </c>
      <c r="AC9" s="212">
        <f t="shared" ca="1" si="10"/>
        <v>26.033013165482654</v>
      </c>
      <c r="AD9" s="212">
        <f t="shared" ca="1" si="10"/>
        <v>26.661096090234953</v>
      </c>
      <c r="AE9" s="212">
        <f t="shared" ca="1" si="10"/>
        <v>27.294346883184712</v>
      </c>
      <c r="AF9" s="212">
        <f t="shared" ca="1" si="10"/>
        <v>27.932806786900226</v>
      </c>
      <c r="AG9" s="212">
        <f t="shared" ca="1" si="10"/>
        <v>28.576517365958786</v>
      </c>
      <c r="AH9" s="217">
        <f t="shared" ca="1" si="10"/>
        <v>29.225520509420271</v>
      </c>
      <c r="AI9" s="212">
        <f t="shared" ca="1" si="10"/>
        <v>28.884186868905335</v>
      </c>
      <c r="AJ9" s="212">
        <f t="shared" ca="1" si="10"/>
        <v>29.543902118759402</v>
      </c>
      <c r="AK9" s="212">
        <f t="shared" ca="1" si="10"/>
        <v>30.209037572103277</v>
      </c>
      <c r="AL9" s="212">
        <f t="shared" ca="1" si="10"/>
        <v>30.879636441034542</v>
      </c>
      <c r="AM9" s="212">
        <f t="shared" ca="1" si="10"/>
        <v>31.555742274783391</v>
      </c>
      <c r="AN9" s="212">
        <f t="shared" ca="1" si="10"/>
        <v>32.237398962299849</v>
      </c>
      <c r="AO9" s="212">
        <f t="shared" ca="1" si="10"/>
        <v>32.924650734861402</v>
      </c>
      <c r="AP9" s="212">
        <f t="shared" ca="1" si="10"/>
        <v>33.617542168700304</v>
      </c>
      <c r="AQ9" s="212">
        <f t="shared" ca="1" si="10"/>
        <v>34.316118187650488</v>
      </c>
      <c r="AR9" s="212">
        <f t="shared" ca="1" si="10"/>
        <v>35.020424065814893</v>
      </c>
      <c r="AS9" s="212">
        <f t="shared" ca="1" si="10"/>
        <v>35.730505430252606</v>
      </c>
      <c r="AT9" s="217">
        <f t="shared" ca="1" si="10"/>
        <v>36.446408263686763</v>
      </c>
      <c r="AU9" s="212">
        <f t="shared" ca="1" si="10"/>
        <v>36.148487394732612</v>
      </c>
      <c r="AV9" s="212">
        <f t="shared" ca="1" si="10"/>
        <v>36.876172550646992</v>
      </c>
      <c r="AW9" s="212">
        <f t="shared" ca="1" si="10"/>
        <v>37.609819285097181</v>
      </c>
      <c r="AX9" s="212">
        <f t="shared" ca="1" si="10"/>
        <v>38.349475030952078</v>
      </c>
      <c r="AY9" s="212">
        <f t="shared" ca="1" si="10"/>
        <v>39.095187590594215</v>
      </c>
      <c r="AZ9" s="212">
        <f t="shared" ca="1" si="10"/>
        <v>39.847005138752515</v>
      </c>
      <c r="BA9" s="212">
        <f t="shared" ca="1" si="10"/>
        <v>40.604976225357134</v>
      </c>
      <c r="BB9" s="212">
        <f t="shared" ca="1" si="10"/>
        <v>41.369149778415682</v>
      </c>
      <c r="BC9" s="212">
        <f t="shared" ca="1" si="10"/>
        <v>42.139575106910996</v>
      </c>
      <c r="BD9" s="212">
        <f t="shared" ca="1" si="10"/>
        <v>42.916301903721426</v>
      </c>
      <c r="BE9" s="212">
        <f t="shared" ca="1" si="10"/>
        <v>43.69938024856242</v>
      </c>
      <c r="BF9" s="217">
        <f t="shared" ca="1" si="10"/>
        <v>44.488860610951143</v>
      </c>
      <c r="BG9" s="212">
        <f t="shared" ca="1" si="10"/>
        <v>44.240458653509776</v>
      </c>
      <c r="BH9" s="212">
        <f t="shared" ca="1" si="10"/>
        <v>45.042896033708416</v>
      </c>
      <c r="BI9" s="212">
        <f t="shared" ca="1" si="10"/>
        <v>45.851889208796841</v>
      </c>
      <c r="BJ9" s="212">
        <f t="shared" ca="1" si="10"/>
        <v>46.667490237593007</v>
      </c>
      <c r="BK9" s="212">
        <f t="shared" ca="1" si="10"/>
        <v>47.489751583878224</v>
      </c>
      <c r="BL9" s="212">
        <f t="shared" ca="1" si="10"/>
        <v>48.318726119498344</v>
      </c>
      <c r="BM9" s="212">
        <f t="shared" ca="1" si="10"/>
        <v>43.154467127488509</v>
      </c>
      <c r="BN9" s="212">
        <f t="shared" ca="1" si="10"/>
        <v>49.997028305222337</v>
      </c>
      <c r="BO9" s="212">
        <f t="shared" ca="1" si="10"/>
        <v>50.846463767583629</v>
      </c>
      <c r="BP9" s="212">
        <f t="shared" ca="1" si="10"/>
        <v>53.702828050163518</v>
      </c>
      <c r="BQ9" s="212">
        <f t="shared" ca="1" si="10"/>
        <v>52.566176112480484</v>
      </c>
      <c r="BR9" s="217">
        <f t="shared" ca="1" si="10"/>
        <v>53.436563341225252</v>
      </c>
    </row>
    <row r="10" spans="1:70" s="14" customFormat="1" ht="13.2" x14ac:dyDescent="0.3">
      <c r="A10" s="13"/>
      <c r="B10" s="201"/>
      <c r="C10" s="185" t="s">
        <v>181</v>
      </c>
      <c r="E10" s="211">
        <f t="shared" ca="1" si="0"/>
        <v>-697.43206284733196</v>
      </c>
      <c r="F10" s="211">
        <f t="shared" ca="1" si="1"/>
        <v>-61.201194740864707</v>
      </c>
      <c r="G10" s="211">
        <f t="shared" ca="1" si="2"/>
        <v>-66.571733947820235</v>
      </c>
      <c r="H10" s="211">
        <f t="shared" ca="1" si="3"/>
        <v>-72.413549761312765</v>
      </c>
      <c r="I10" s="211">
        <f t="shared" ca="1" si="4"/>
        <v>-78.767997738260874</v>
      </c>
      <c r="J10" s="210"/>
      <c r="K10" s="212">
        <f ca="1">-Balance!K7</f>
        <v>-424.15359046057893</v>
      </c>
      <c r="L10" s="213">
        <f ca="1">Balance!K7-Balance!L7</f>
        <v>-203.89838486461611</v>
      </c>
      <c r="M10" s="213">
        <f ca="1">Balance!L7-Balance!M7</f>
        <v>-26.741635005768558</v>
      </c>
      <c r="N10" s="213">
        <f ca="1">Balance!M7-Balance!N7</f>
        <v>-4.6058643674849691</v>
      </c>
      <c r="O10" s="213">
        <f ca="1">Balance!N7-Balance!O7</f>
        <v>-4.6382623418037383</v>
      </c>
      <c r="P10" s="213">
        <f ca="1">Balance!O7-Balance!P7</f>
        <v>-4.6708882057555456</v>
      </c>
      <c r="Q10" s="213">
        <f ca="1">Balance!P7-Balance!Q7</f>
        <v>-4.7037435623319652</v>
      </c>
      <c r="R10" s="213">
        <f ca="1">Balance!Q7-Balance!R7</f>
        <v>-4.7368300258003728</v>
      </c>
      <c r="S10" s="213">
        <f ca="1">Balance!R7-Balance!S7</f>
        <v>-4.7701492217827308</v>
      </c>
      <c r="T10" s="213">
        <f ca="1">Balance!S7-Balance!T7</f>
        <v>-4.8037027873360785</v>
      </c>
      <c r="U10" s="213">
        <f ca="1">Balance!T7-Balance!U7</f>
        <v>-4.8374923710327948</v>
      </c>
      <c r="V10" s="211">
        <f ca="1">Balance!U7-Balance!V7</f>
        <v>-4.8715196330401795</v>
      </c>
      <c r="W10" s="212">
        <f ca="1">Balance!V7-Balance!W7</f>
        <v>-4.9057862452053769</v>
      </c>
      <c r="X10" s="213">
        <f ca="1">Balance!W7-Balance!X7</f>
        <v>-4.9402938911333649</v>
      </c>
      <c r="Y10" s="213">
        <f ca="1">Balance!X7-Balance!Y7</f>
        <v>-4.9750442662731302</v>
      </c>
      <c r="Z10" s="213">
        <f ca="1">Balance!Y7-Balance!Z7</f>
        <v>-5.0100390779987265</v>
      </c>
      <c r="AA10" s="213">
        <f ca="1">Balance!Z7-Balance!AA7</f>
        <v>-5.0452800456945397</v>
      </c>
      <c r="AB10" s="213">
        <f ca="1">Balance!AA7-Balance!AB7</f>
        <v>-5.0807689008387342</v>
      </c>
      <c r="AC10" s="213">
        <f ca="1">Balance!AB7-Balance!AC7</f>
        <v>-5.1165073870894275</v>
      </c>
      <c r="AD10" s="213">
        <f ca="1">Balance!AC7-Balance!AD7</f>
        <v>-5.1524972603692731</v>
      </c>
      <c r="AE10" s="213">
        <f ca="1">Balance!AD7-Balance!AE7</f>
        <v>-5.1887402889520899</v>
      </c>
      <c r="AF10" s="213">
        <f ca="1">Balance!AE7-Balance!AF7</f>
        <v>-5.2252382535502875</v>
      </c>
      <c r="AG10" s="213">
        <f ca="1">Balance!AF7-Balance!AG7</f>
        <v>-5.2619929474016089</v>
      </c>
      <c r="AH10" s="211">
        <f ca="1">Balance!AG7-Balance!AH7</f>
        <v>-5.299006176358148</v>
      </c>
      <c r="AI10" s="212">
        <f ca="1">Balance!AH7-Balance!AI7</f>
        <v>-5.3362797589737738</v>
      </c>
      <c r="AJ10" s="213">
        <f ca="1">Balance!AI7-Balance!AJ7</f>
        <v>-5.3738155265941714</v>
      </c>
      <c r="AK10" s="213">
        <f ca="1">Balance!AJ7-Balance!AK7</f>
        <v>-5.4116153234476769</v>
      </c>
      <c r="AL10" s="213">
        <f ca="1">Balance!AK7-Balance!AL7</f>
        <v>-5.4496810067339538</v>
      </c>
      <c r="AM10" s="213">
        <f ca="1">Balance!AL7-Balance!AM7</f>
        <v>-5.4880144467174432</v>
      </c>
      <c r="AN10" s="213">
        <f ca="1">Balance!AM7-Balance!AN7</f>
        <v>-5.5266175268168354</v>
      </c>
      <c r="AO10" s="213">
        <f ca="1">Balance!AN7-Balance!AO7</f>
        <v>-5.5654921437005669</v>
      </c>
      <c r="AP10" s="213">
        <f ca="1">Balance!AO7-Balance!AP7</f>
        <v>-5.6046402073773152</v>
      </c>
      <c r="AQ10" s="213">
        <f ca="1">Balance!AP7-Balance!AQ7</f>
        <v>-5.6440636412901313</v>
      </c>
      <c r="AR10" s="213">
        <f ca="1">Balance!AQ7-Balance!AR7</f>
        <v>-5.6837643824140969</v>
      </c>
      <c r="AS10" s="213">
        <f ca="1">Balance!AR7-Balance!AS7</f>
        <v>-5.723744381346819</v>
      </c>
      <c r="AT10" s="211">
        <f ca="1">Balance!AS7-Balance!AT7</f>
        <v>-5.7640056024074511</v>
      </c>
      <c r="AU10" s="212">
        <f ca="1">Balance!AT7-Balance!AU7</f>
        <v>-5.804550023732304</v>
      </c>
      <c r="AV10" s="213">
        <f ca="1">Balance!AU7-Balance!AV7</f>
        <v>-5.8453796373721616</v>
      </c>
      <c r="AW10" s="213">
        <f ca="1">Balance!AV7-Balance!AW7</f>
        <v>-5.8864964493894831</v>
      </c>
      <c r="AX10" s="213">
        <f ca="1">Balance!AW7-Balance!AX7</f>
        <v>-5.927902479958334</v>
      </c>
      <c r="AY10" s="213">
        <f ca="1">Balance!AX7-Balance!AY7</f>
        <v>-5.9695997634620426</v>
      </c>
      <c r="AZ10" s="213">
        <f ca="1">Balance!AY7-Balance!AZ7</f>
        <v>-6.0115903485944955</v>
      </c>
      <c r="BA10" s="213">
        <f ca="1">Balance!AZ7-Balance!BA7</f>
        <v>-6.0538762984594996</v>
      </c>
      <c r="BB10" s="213">
        <f ca="1">Balance!BA7-Balance!BB7</f>
        <v>-6.0964596906736688</v>
      </c>
      <c r="BC10" s="213">
        <f ca="1">Balance!BB7-Balance!BC7</f>
        <v>-6.1393426174680599</v>
      </c>
      <c r="BD10" s="213">
        <f ca="1">Balance!BC7-Balance!BD7</f>
        <v>-6.182527185789354</v>
      </c>
      <c r="BE10" s="213">
        <f ca="1">Balance!BD7-Balance!BE7</f>
        <v>-6.2260155174052443</v>
      </c>
      <c r="BF10" s="211">
        <f ca="1">Balance!BE7-Balance!BF7</f>
        <v>-6.2698097490081182</v>
      </c>
      <c r="BG10" s="212">
        <f ca="1">Balance!BF7-Balance!BG7</f>
        <v>-6.3139120323204452</v>
      </c>
      <c r="BH10" s="213">
        <f ca="1">Balance!BG7-Balance!BH7</f>
        <v>-6.3583245341991415</v>
      </c>
      <c r="BI10" s="213">
        <f ca="1">Balance!BH7-Balance!BI7</f>
        <v>-6.4030494367439132</v>
      </c>
      <c r="BJ10" s="213">
        <f ca="1">Balance!BI7-Balance!BJ7</f>
        <v>-6.4480889374027583</v>
      </c>
      <c r="BK10" s="213">
        <f ca="1">Balance!BJ7-Balance!BK7</f>
        <v>-6.4934452490812191</v>
      </c>
      <c r="BL10" s="213">
        <f ca="1">Balance!BK7-Balance!BL7</f>
        <v>-6.5391206002501576</v>
      </c>
      <c r="BM10" s="213">
        <f ca="1">Balance!BL7-Balance!BM7</f>
        <v>-6.5851172350555771</v>
      </c>
      <c r="BN10" s="213">
        <f ca="1">Balance!BM7-Balance!BN7</f>
        <v>-6.6314374134294667</v>
      </c>
      <c r="BO10" s="213">
        <f ca="1">Balance!BN7-Balance!BO7</f>
        <v>-6.6780834111998502</v>
      </c>
      <c r="BP10" s="213">
        <f ca="1">Balance!BO7-Balance!BP7</f>
        <v>-6.7250575202037908</v>
      </c>
      <c r="BQ10" s="213">
        <f ca="1">Balance!BP7-Balance!BQ7</f>
        <v>-6.772362048398918</v>
      </c>
      <c r="BR10" s="211">
        <f ca="1">Balance!BQ7-Balance!BR7</f>
        <v>-6.8199993199756364</v>
      </c>
    </row>
    <row r="11" spans="1:70" s="14" customFormat="1" ht="13.2" x14ac:dyDescent="0.3">
      <c r="A11" s="13"/>
      <c r="B11" s="201"/>
      <c r="C11" s="185" t="s">
        <v>182</v>
      </c>
      <c r="E11" s="211">
        <f t="shared" ca="1" si="0"/>
        <v>-77.702299705267905</v>
      </c>
      <c r="F11" s="211">
        <f t="shared" ca="1" si="1"/>
        <v>-6.30510963909596</v>
      </c>
      <c r="G11" s="211">
        <f t="shared" ca="1" si="2"/>
        <v>-6.8167342333719603</v>
      </c>
      <c r="H11" s="211">
        <f t="shared" ca="1" si="3"/>
        <v>-7.3698743191226299</v>
      </c>
      <c r="I11" s="211">
        <f t="shared" ca="1" si="4"/>
        <v>-7.9678986476776572</v>
      </c>
      <c r="J11" s="210"/>
      <c r="K11" s="212">
        <f ca="1">-Balance!K8</f>
        <v>-47.511380120532053</v>
      </c>
      <c r="L11" s="213">
        <f ca="1">Balance!K8-Balance!L8</f>
        <v>-22.815300699209629</v>
      </c>
      <c r="M11" s="213">
        <f ca="1">Balance!L8-Balance!M8</f>
        <v>-2.9593300985740143</v>
      </c>
      <c r="N11" s="213">
        <f ca="1">Balance!M8-Balance!N8</f>
        <v>-0.47803444296030762</v>
      </c>
      <c r="O11" s="213">
        <f ca="1">Balance!N8-Balance!O8</f>
        <v>-0.48115259505773622</v>
      </c>
      <c r="P11" s="213">
        <f ca="1">Balance!O8-Balance!P8</f>
        <v>-0.4842910864270209</v>
      </c>
      <c r="Q11" s="213">
        <f ca="1">Balance!P8-Balance!Q8</f>
        <v>-0.48745004973844175</v>
      </c>
      <c r="R11" s="213">
        <f ca="1">Balance!Q8-Balance!R8</f>
        <v>-0.49062961852759202</v>
      </c>
      <c r="S11" s="213">
        <f ca="1">Balance!R8-Balance!S8</f>
        <v>-0.49382992720116192</v>
      </c>
      <c r="T11" s="213">
        <f ca="1">Balance!S8-Balance!T8</f>
        <v>-0.49705111104250932</v>
      </c>
      <c r="U11" s="213">
        <f ca="1">Balance!T8-Balance!U8</f>
        <v>-0.50029330621745771</v>
      </c>
      <c r="V11" s="211">
        <f ca="1">Balance!U8-Balance!V8</f>
        <v>-0.5035566497799806</v>
      </c>
      <c r="W11" s="212">
        <f ca="1">Balance!V8-Balance!W8</f>
        <v>-0.50684127967812742</v>
      </c>
      <c r="X11" s="213">
        <f ca="1">Balance!W8-Balance!X8</f>
        <v>-0.51014733475962259</v>
      </c>
      <c r="Y11" s="213">
        <f ca="1">Balance!X8-Balance!Y8</f>
        <v>-0.51347495477799043</v>
      </c>
      <c r="Z11" s="213">
        <f ca="1">Balance!Y8-Balance!Z8</f>
        <v>-0.51682428039833894</v>
      </c>
      <c r="AA11" s="213">
        <f ca="1">Balance!Z8-Balance!AA8</f>
        <v>-0.52019545320324312</v>
      </c>
      <c r="AB11" s="213">
        <f ca="1">Balance!AA8-Balance!AB8</f>
        <v>-0.52358861569888404</v>
      </c>
      <c r="AC11" s="213">
        <f ca="1">Balance!AB8-Balance!AC8</f>
        <v>-0.52700391132093216</v>
      </c>
      <c r="AD11" s="213">
        <f ca="1">Balance!AC8-Balance!AD8</f>
        <v>-0.53044148444067218</v>
      </c>
      <c r="AE11" s="213">
        <f ca="1">Balance!AD8-Balance!AE8</f>
        <v>-0.53390148037115637</v>
      </c>
      <c r="AF11" s="213">
        <f ca="1">Balance!AE8-Balance!AF8</f>
        <v>-0.5373840453732015</v>
      </c>
      <c r="AG11" s="213">
        <f ca="1">Balance!AF8-Balance!AG8</f>
        <v>-0.5408893266617838</v>
      </c>
      <c r="AH11" s="211">
        <f ca="1">Balance!AG8-Balance!AH8</f>
        <v>-0.54441747241200744</v>
      </c>
      <c r="AI11" s="212">
        <f ca="1">Balance!AH8-Balance!AI8</f>
        <v>-0.54796863176562738</v>
      </c>
      <c r="AJ11" s="213">
        <f ca="1">Balance!AI8-Balance!AJ8</f>
        <v>-0.55154295483715998</v>
      </c>
      <c r="AK11" s="213">
        <f ca="1">Balance!AJ8-Balance!AK8</f>
        <v>-0.55514059272030636</v>
      </c>
      <c r="AL11" s="213">
        <f ca="1">Balance!AK8-Balance!AL8</f>
        <v>-0.55876169749436144</v>
      </c>
      <c r="AM11" s="213">
        <f ca="1">Balance!AL8-Balance!AM8</f>
        <v>-0.56240642223052362</v>
      </c>
      <c r="AN11" s="213">
        <f ca="1">Balance!AM8-Balance!AN8</f>
        <v>-0.56607492099855961</v>
      </c>
      <c r="AO11" s="213">
        <f ca="1">Balance!AN8-Balance!AO8</f>
        <v>-0.56976734887315672</v>
      </c>
      <c r="AP11" s="213">
        <f ca="1">Balance!AO8-Balance!AP8</f>
        <v>-0.57348386194057355</v>
      </c>
      <c r="AQ11" s="213">
        <f ca="1">Balance!AP8-Balance!AQ8</f>
        <v>-0.57722461730510588</v>
      </c>
      <c r="AR11" s="213">
        <f ca="1">Balance!AQ8-Balance!AR8</f>
        <v>-0.58098977309596478</v>
      </c>
      <c r="AS11" s="213">
        <f ca="1">Balance!AR8-Balance!AS8</f>
        <v>-0.58477948847364303</v>
      </c>
      <c r="AT11" s="211">
        <f ca="1">Balance!AS8-Balance!AT8</f>
        <v>-0.58859392363697793</v>
      </c>
      <c r="AU11" s="212">
        <f ca="1">Balance!AT8-Balance!AU8</f>
        <v>-0.59243323982967411</v>
      </c>
      <c r="AV11" s="213">
        <f ca="1">Balance!AU8-Balance!AV8</f>
        <v>-0.59629759934719573</v>
      </c>
      <c r="AW11" s="213">
        <f ca="1">Balance!AV8-Balance!AW8</f>
        <v>-0.60018716554365881</v>
      </c>
      <c r="AX11" s="213">
        <f ca="1">Balance!AW8-Balance!AX8</f>
        <v>-0.60410210283875188</v>
      </c>
      <c r="AY11" s="213">
        <f ca="1">Balance!AX8-Balance!AY8</f>
        <v>-0.60804257672458562</v>
      </c>
      <c r="AZ11" s="213">
        <f ca="1">Balance!AY8-Balance!AZ8</f>
        <v>-0.61200875377282671</v>
      </c>
      <c r="BA11" s="213">
        <f ca="1">Balance!AZ8-Balance!BA8</f>
        <v>-0.61600080164161852</v>
      </c>
      <c r="BB11" s="213">
        <f ca="1">Balance!BA8-Balance!BB8</f>
        <v>-0.62001888908261549</v>
      </c>
      <c r="BC11" s="213">
        <f ca="1">Balance!BB8-Balance!BC8</f>
        <v>-0.62406318594854326</v>
      </c>
      <c r="BD11" s="213">
        <f ca="1">Balance!BC8-Balance!BD8</f>
        <v>-0.62813386319957942</v>
      </c>
      <c r="BE11" s="213">
        <f ca="1">Balance!BD8-Balance!BE8</f>
        <v>-0.63223109291146784</v>
      </c>
      <c r="BF11" s="211">
        <f ca="1">Balance!BE8-Balance!BF8</f>
        <v>-0.63635504828211253</v>
      </c>
      <c r="BG11" s="212">
        <f ca="1">Balance!BF8-Balance!BG8</f>
        <v>-0.64050590363937943</v>
      </c>
      <c r="BH11" s="213">
        <f ca="1">Balance!BG8-Balance!BH8</f>
        <v>-0.64468383444800281</v>
      </c>
      <c r="BI11" s="213">
        <f ca="1">Balance!BH8-Balance!BI8</f>
        <v>-0.6488890173174866</v>
      </c>
      <c r="BJ11" s="213">
        <f ca="1">Balance!BI8-Balance!BJ8</f>
        <v>-0.65312163000916712</v>
      </c>
      <c r="BK11" s="213">
        <f ca="1">Balance!BJ8-Balance!BK8</f>
        <v>-0.65738185144401484</v>
      </c>
      <c r="BL11" s="213">
        <f ca="1">Balance!BK8-Balance!BL8</f>
        <v>-0.66166986170991038</v>
      </c>
      <c r="BM11" s="213">
        <f ca="1">Balance!BL8-Balance!BM8</f>
        <v>-0.66598584206965938</v>
      </c>
      <c r="BN11" s="213">
        <f ca="1">Balance!BM8-Balance!BN8</f>
        <v>-0.67032997496821167</v>
      </c>
      <c r="BO11" s="213">
        <f ca="1">Balance!BN8-Balance!BO8</f>
        <v>-0.67470244404064772</v>
      </c>
      <c r="BP11" s="213">
        <f ca="1">Balance!BO8-Balance!BP8</f>
        <v>-0.67910343411992358</v>
      </c>
      <c r="BQ11" s="213">
        <f ca="1">Balance!BP8-Balance!BQ8</f>
        <v>-0.68353313124460158</v>
      </c>
      <c r="BR11" s="211">
        <f ca="1">Balance!BQ8-Balance!BR8</f>
        <v>-0.68799172266665209</v>
      </c>
    </row>
    <row r="12" spans="1:70" s="14" customFormat="1" ht="13.2" x14ac:dyDescent="0.3">
      <c r="A12" s="13"/>
      <c r="B12" s="201"/>
      <c r="C12" s="178" t="s">
        <v>183</v>
      </c>
      <c r="E12" s="215">
        <f t="shared" ca="1" si="0"/>
        <v>595.71763107372067</v>
      </c>
      <c r="F12" s="215">
        <f t="shared" ca="1" si="1"/>
        <v>48.33917389973567</v>
      </c>
      <c r="G12" s="215">
        <f t="shared" ca="1" si="2"/>
        <v>52.261629122518343</v>
      </c>
      <c r="H12" s="215">
        <f t="shared" ca="1" si="3"/>
        <v>56.502369779940182</v>
      </c>
      <c r="I12" s="215">
        <f t="shared" ca="1" si="4"/>
        <v>61.087222965528667</v>
      </c>
      <c r="J12" s="210"/>
      <c r="K12" s="216">
        <f ca="1">Balance!K21</f>
        <v>364.25391425741242</v>
      </c>
      <c r="L12" s="216">
        <f ca="1">Balance!L21-Balance!K21</f>
        <v>174.91730536060714</v>
      </c>
      <c r="M12" s="216">
        <f ca="1">Balance!M21-Balance!L21</f>
        <v>22.688197422400776</v>
      </c>
      <c r="N12" s="216">
        <f ca="1">Balance!N21-Balance!M21</f>
        <v>3.6649307293623679</v>
      </c>
      <c r="O12" s="216">
        <f ca="1">Balance!O21-Balance!N21</f>
        <v>3.6888365621092589</v>
      </c>
      <c r="P12" s="216">
        <f ca="1">Balance!P21-Balance!O21</f>
        <v>3.7128983292739122</v>
      </c>
      <c r="Q12" s="216">
        <f ca="1">Balance!Q21-Balance!P21</f>
        <v>3.7371170479947295</v>
      </c>
      <c r="R12" s="216">
        <f ca="1">Balance!R21-Balance!Q21</f>
        <v>3.7614937420448769</v>
      </c>
      <c r="S12" s="216">
        <f ca="1">Balance!S21-Balance!R21</f>
        <v>3.7860294418755984</v>
      </c>
      <c r="T12" s="216">
        <f ca="1">Balance!T21-Balance!S21</f>
        <v>3.8107251846591907</v>
      </c>
      <c r="U12" s="216">
        <f ca="1">Balance!U21-Balance!T21</f>
        <v>3.8355820143339088</v>
      </c>
      <c r="V12" s="215">
        <f ca="1">Balance!V21-Balance!U21</f>
        <v>3.8606009816464848</v>
      </c>
      <c r="W12" s="216">
        <f ca="1">Balance!W21-Balance!V21</f>
        <v>3.8857831441989674</v>
      </c>
      <c r="X12" s="216">
        <f ca="1">Balance!X21-Balance!W21</f>
        <v>3.9111295664904446</v>
      </c>
      <c r="Y12" s="216">
        <f ca="1">Balance!Y21-Balance!X21</f>
        <v>3.9366413199645649</v>
      </c>
      <c r="Z12" s="216">
        <f ca="1">Balance!Z21-Balance!Y21</f>
        <v>3.962319483053875</v>
      </c>
      <c r="AA12" s="216">
        <f ca="1">Balance!AA21-Balance!Z21</f>
        <v>3.9881651412249539</v>
      </c>
      <c r="AB12" s="216">
        <f ca="1">Balance!AB21-Balance!AA21</f>
        <v>4.0141793870246829</v>
      </c>
      <c r="AC12" s="216">
        <f ca="1">Balance!AC21-Balance!AB21</f>
        <v>4.0403633201271987</v>
      </c>
      <c r="AD12" s="216">
        <f ca="1">Balance!AD21-Balance!AC21</f>
        <v>4.0667180473784583</v>
      </c>
      <c r="AE12" s="216">
        <f ca="1">Balance!AE21-Balance!AD21</f>
        <v>4.0932446828455795</v>
      </c>
      <c r="AF12" s="216">
        <f ca="1">Balance!AF21-Balance!AE21</f>
        <v>4.1199443478611784</v>
      </c>
      <c r="AG12" s="216">
        <f ca="1">Balance!AG21-Balance!AF21</f>
        <v>4.1468181710737326</v>
      </c>
      <c r="AH12" s="215">
        <f ca="1">Balance!AH21-Balance!AG21</f>
        <v>4.1738672884920334</v>
      </c>
      <c r="AI12" s="216">
        <f ca="1">Balance!AI21-Balance!AH21</f>
        <v>4.2010928435364576</v>
      </c>
      <c r="AJ12" s="216">
        <f ca="1">Balance!AJ21-Balance!AI21</f>
        <v>4.2284959870848979</v>
      </c>
      <c r="AK12" s="216">
        <f ca="1">Balance!AK21-Balance!AJ21</f>
        <v>4.2560778775223298</v>
      </c>
      <c r="AL12" s="216">
        <f ca="1">Balance!AL21-Balance!AK21</f>
        <v>4.2838396807900381</v>
      </c>
      <c r="AM12" s="216">
        <f ca="1">Balance!AM21-Balance!AL21</f>
        <v>4.3117825704340476</v>
      </c>
      <c r="AN12" s="216">
        <f ca="1">Balance!AN21-Balance!AM21</f>
        <v>4.3399077276557136</v>
      </c>
      <c r="AO12" s="216">
        <f ca="1">Balance!AO21-Balance!AN21</f>
        <v>4.368216341360835</v>
      </c>
      <c r="AP12" s="216">
        <f ca="1">Balance!AP21-Balance!AO21</f>
        <v>4.3967096082110402</v>
      </c>
      <c r="AQ12" s="216">
        <f ca="1">Balance!AQ21-Balance!AP21</f>
        <v>4.4253887326724453</v>
      </c>
      <c r="AR12" s="216">
        <f ca="1">Balance!AR21-Balance!AQ21</f>
        <v>4.454254927069087</v>
      </c>
      <c r="AS12" s="216">
        <f ca="1">Balance!AS21-Balance!AR21</f>
        <v>4.4833094116312395</v>
      </c>
      <c r="AT12" s="215">
        <f ca="1">Balance!AT21-Balance!AS21</f>
        <v>4.5125534145502115</v>
      </c>
      <c r="AU12" s="216">
        <f ca="1">Balance!AU21-Balance!AT21</f>
        <v>4.5419881720274589</v>
      </c>
      <c r="AV12" s="216">
        <f ca="1">Balance!AV21-Balance!AU21</f>
        <v>4.5716149283285858</v>
      </c>
      <c r="AW12" s="216">
        <f ca="1">Balance!AW21-Balance!AV21</f>
        <v>4.601434935834618</v>
      </c>
      <c r="AX12" s="216">
        <f ca="1">Balance!AX21-Balance!AW21</f>
        <v>4.6314494550971403</v>
      </c>
      <c r="AY12" s="216">
        <f ca="1">Balance!AY21-Balance!AX21</f>
        <v>4.6616597548885466</v>
      </c>
      <c r="AZ12" s="216">
        <f ca="1">Balance!AZ21-Balance!AY21</f>
        <v>4.6920671122583144</v>
      </c>
      <c r="BA12" s="216">
        <f ca="1">Balance!BA21-Balance!AZ21</f>
        <v>4.7226728125857562</v>
      </c>
      <c r="BB12" s="216">
        <f ca="1">Balance!BB21-Balance!BA21</f>
        <v>4.753478149633338</v>
      </c>
      <c r="BC12" s="216">
        <f ca="1">Balance!BC21-Balance!BB21</f>
        <v>4.7844844256054557</v>
      </c>
      <c r="BD12" s="216">
        <f ca="1">Balance!BD21-Balance!BC21</f>
        <v>4.8156929511968656</v>
      </c>
      <c r="BE12" s="216">
        <f ca="1">Balance!BE21-Balance!BD21</f>
        <v>4.8471050456545299</v>
      </c>
      <c r="BF12" s="215">
        <f ca="1">Balance!BF21-Balance!BE21</f>
        <v>4.8787220368295721</v>
      </c>
      <c r="BG12" s="216">
        <f ca="1">Balance!BG21-Balance!BF21</f>
        <v>4.9105452612352565</v>
      </c>
      <c r="BH12" s="216">
        <f ca="1">Balance!BH21-Balance!BG21</f>
        <v>4.9425760641013312</v>
      </c>
      <c r="BI12" s="216">
        <f ca="1">Balance!BI21-Balance!BH21</f>
        <v>4.9748157994340545</v>
      </c>
      <c r="BJ12" s="216">
        <f ca="1">Balance!BJ21-Balance!BI21</f>
        <v>5.007265830070196</v>
      </c>
      <c r="BK12" s="216">
        <f ca="1">Balance!BK21-Balance!BJ21</f>
        <v>5.0399275277375182</v>
      </c>
      <c r="BL12" s="216">
        <f ca="1">Balance!BL21-Balance!BK21</f>
        <v>5.0728022731093461</v>
      </c>
      <c r="BM12" s="216">
        <f ca="1">Balance!BM21-Balance!BL21</f>
        <v>5.1058914558673223</v>
      </c>
      <c r="BN12" s="216">
        <f ca="1">Balance!BN21-Balance!BM21</f>
        <v>5.1391964747563179</v>
      </c>
      <c r="BO12" s="216">
        <f ca="1">Balance!BO21-Balance!BN21</f>
        <v>5.1727187376450274</v>
      </c>
      <c r="BP12" s="216">
        <f ca="1">Balance!BP21-Balance!BO21</f>
        <v>5.2064596615861092</v>
      </c>
      <c r="BQ12" s="216">
        <f ca="1">Balance!BQ21-Balance!BP21</f>
        <v>5.2404206728751888</v>
      </c>
      <c r="BR12" s="215">
        <f ca="1">Balance!BR21-Balance!BQ21</f>
        <v>5.2746032071109994</v>
      </c>
    </row>
    <row r="13" spans="1:70" ht="13.2" x14ac:dyDescent="0.3">
      <c r="A13" s="13"/>
      <c r="B13" s="201"/>
      <c r="C13" s="218" t="s">
        <v>184</v>
      </c>
      <c r="E13" s="219">
        <f t="shared" ca="1" si="0"/>
        <v>-179.41673147887917</v>
      </c>
      <c r="F13" s="219">
        <f t="shared" ca="1" si="1"/>
        <v>-19.167130480224998</v>
      </c>
      <c r="G13" s="219">
        <f t="shared" ca="1" si="2"/>
        <v>-21.126839058673852</v>
      </c>
      <c r="H13" s="219">
        <f t="shared" ca="1" si="3"/>
        <v>-23.281054300495214</v>
      </c>
      <c r="I13" s="219">
        <f t="shared" ca="1" si="4"/>
        <v>-25.648673420409864</v>
      </c>
      <c r="J13" s="210"/>
      <c r="K13" s="220">
        <f ca="1">SUM(K10:K12)</f>
        <v>-107.41105632369857</v>
      </c>
      <c r="L13" s="220">
        <f t="shared" ref="L13:BR13" ca="1" si="11">SUM(L10:L12)</f>
        <v>-51.796380203218575</v>
      </c>
      <c r="M13" s="220">
        <f t="shared" ca="1" si="11"/>
        <v>-7.0127676819417957</v>
      </c>
      <c r="N13" s="220">
        <f t="shared" ca="1" si="11"/>
        <v>-1.4189680810829088</v>
      </c>
      <c r="O13" s="220">
        <f t="shared" ca="1" si="11"/>
        <v>-1.4305783747522156</v>
      </c>
      <c r="P13" s="220">
        <f t="shared" ca="1" si="11"/>
        <v>-1.4422809629086544</v>
      </c>
      <c r="Q13" s="220">
        <f t="shared" ca="1" si="11"/>
        <v>-1.4540765640756774</v>
      </c>
      <c r="R13" s="220">
        <f t="shared" ca="1" si="11"/>
        <v>-1.465965902283088</v>
      </c>
      <c r="S13" s="220">
        <f t="shared" ca="1" si="11"/>
        <v>-1.4779497071082943</v>
      </c>
      <c r="T13" s="220">
        <f t="shared" ca="1" si="11"/>
        <v>-1.490028713719397</v>
      </c>
      <c r="U13" s="220">
        <f t="shared" ca="1" si="11"/>
        <v>-1.5022036629163438</v>
      </c>
      <c r="V13" s="219">
        <f t="shared" ca="1" si="11"/>
        <v>-1.5144753011736753</v>
      </c>
      <c r="W13" s="220">
        <f t="shared" ca="1" si="11"/>
        <v>-1.5268443806845369</v>
      </c>
      <c r="X13" s="220">
        <f t="shared" ca="1" si="11"/>
        <v>-1.5393116594025429</v>
      </c>
      <c r="Y13" s="220">
        <f t="shared" ca="1" si="11"/>
        <v>-1.5518779010865558</v>
      </c>
      <c r="Z13" s="220">
        <f t="shared" ca="1" si="11"/>
        <v>-1.5645438753431904</v>
      </c>
      <c r="AA13" s="220">
        <f t="shared" ca="1" si="11"/>
        <v>-1.5773103576728289</v>
      </c>
      <c r="AB13" s="220">
        <f t="shared" ca="1" si="11"/>
        <v>-1.5901781295129354</v>
      </c>
      <c r="AC13" s="220">
        <f t="shared" ca="1" si="11"/>
        <v>-1.603147978283161</v>
      </c>
      <c r="AD13" s="220">
        <f t="shared" ca="1" si="11"/>
        <v>-1.616220697431487</v>
      </c>
      <c r="AE13" s="220">
        <f t="shared" ca="1" si="11"/>
        <v>-1.6293970864776668</v>
      </c>
      <c r="AF13" s="220">
        <f t="shared" ca="1" si="11"/>
        <v>-1.6426779510623106</v>
      </c>
      <c r="AG13" s="220">
        <f t="shared" ca="1" si="11"/>
        <v>-1.6560641029896601</v>
      </c>
      <c r="AH13" s="219">
        <f t="shared" ca="1" si="11"/>
        <v>-1.669556360278122</v>
      </c>
      <c r="AI13" s="220">
        <f t="shared" ca="1" si="11"/>
        <v>-1.6831555472029436</v>
      </c>
      <c r="AJ13" s="220">
        <f t="shared" ca="1" si="11"/>
        <v>-1.6968624943464334</v>
      </c>
      <c r="AK13" s="220">
        <f t="shared" ca="1" si="11"/>
        <v>-1.7106780386456535</v>
      </c>
      <c r="AL13" s="220">
        <f t="shared" ca="1" si="11"/>
        <v>-1.7246030234382772</v>
      </c>
      <c r="AM13" s="220">
        <f t="shared" ca="1" si="11"/>
        <v>-1.7386382985139193</v>
      </c>
      <c r="AN13" s="220">
        <f t="shared" ca="1" si="11"/>
        <v>-1.7527847201596813</v>
      </c>
      <c r="AO13" s="220">
        <f t="shared" ca="1" si="11"/>
        <v>-1.7670431512128886</v>
      </c>
      <c r="AP13" s="220">
        <f t="shared" ca="1" si="11"/>
        <v>-1.7814144611068485</v>
      </c>
      <c r="AQ13" s="220">
        <f t="shared" ca="1" si="11"/>
        <v>-1.7958995259227919</v>
      </c>
      <c r="AR13" s="220">
        <f t="shared" ca="1" si="11"/>
        <v>-1.8104992284409747</v>
      </c>
      <c r="AS13" s="220">
        <f t="shared" ca="1" si="11"/>
        <v>-1.8252144581892225</v>
      </c>
      <c r="AT13" s="219">
        <f t="shared" ca="1" si="11"/>
        <v>-1.8400461114942175</v>
      </c>
      <c r="AU13" s="220">
        <f t="shared" ca="1" si="11"/>
        <v>-1.8549950915345192</v>
      </c>
      <c r="AV13" s="220">
        <f t="shared" ca="1" si="11"/>
        <v>-1.8700623083907715</v>
      </c>
      <c r="AW13" s="220">
        <f t="shared" ca="1" si="11"/>
        <v>-1.8852486790985239</v>
      </c>
      <c r="AX13" s="220">
        <f t="shared" ca="1" si="11"/>
        <v>-1.9005551276999455</v>
      </c>
      <c r="AY13" s="220">
        <f t="shared" ca="1" si="11"/>
        <v>-1.9159825852980816</v>
      </c>
      <c r="AZ13" s="220">
        <f t="shared" ca="1" si="11"/>
        <v>-1.9315319901090078</v>
      </c>
      <c r="BA13" s="220">
        <f t="shared" ca="1" si="11"/>
        <v>-1.9472042875153619</v>
      </c>
      <c r="BB13" s="220">
        <f t="shared" ca="1" si="11"/>
        <v>-1.9630004301229462</v>
      </c>
      <c r="BC13" s="220">
        <f t="shared" ca="1" si="11"/>
        <v>-1.9789213778111474</v>
      </c>
      <c r="BD13" s="220">
        <f t="shared" ca="1" si="11"/>
        <v>-1.9949680977920679</v>
      </c>
      <c r="BE13" s="220">
        <f t="shared" ca="1" si="11"/>
        <v>-2.0111415646621822</v>
      </c>
      <c r="BF13" s="219">
        <f t="shared" ca="1" si="11"/>
        <v>-2.0274427604606586</v>
      </c>
      <c r="BG13" s="220">
        <f t="shared" ca="1" si="11"/>
        <v>-2.0438726747245681</v>
      </c>
      <c r="BH13" s="220">
        <f t="shared" ca="1" si="11"/>
        <v>-2.0604323045458131</v>
      </c>
      <c r="BI13" s="220">
        <f t="shared" ca="1" si="11"/>
        <v>-2.0771226546273454</v>
      </c>
      <c r="BJ13" s="220">
        <f t="shared" ca="1" si="11"/>
        <v>-2.0939447373417295</v>
      </c>
      <c r="BK13" s="220">
        <f t="shared" ca="1" si="11"/>
        <v>-2.1108995727877158</v>
      </c>
      <c r="BL13" s="220">
        <f t="shared" ca="1" si="11"/>
        <v>-2.1279881888507219</v>
      </c>
      <c r="BM13" s="220">
        <f t="shared" ca="1" si="11"/>
        <v>-2.1452116212579142</v>
      </c>
      <c r="BN13" s="220">
        <f t="shared" ca="1" si="11"/>
        <v>-2.1625709136413604</v>
      </c>
      <c r="BO13" s="220">
        <f t="shared" ca="1" si="11"/>
        <v>-2.1800671175954704</v>
      </c>
      <c r="BP13" s="220">
        <f t="shared" ca="1" si="11"/>
        <v>-2.1977012927376052</v>
      </c>
      <c r="BQ13" s="220">
        <f t="shared" ca="1" si="11"/>
        <v>-2.2154745067683308</v>
      </c>
      <c r="BR13" s="219">
        <f t="shared" ca="1" si="11"/>
        <v>-2.2333878355312891</v>
      </c>
    </row>
    <row r="14" spans="1:70" s="175" customFormat="1" ht="13.2" x14ac:dyDescent="0.3">
      <c r="A14" s="40"/>
      <c r="C14" s="221" t="s">
        <v>74</v>
      </c>
      <c r="E14" s="222">
        <f t="shared" ca="1" si="0"/>
        <v>93.915228931829915</v>
      </c>
      <c r="F14" s="222">
        <f t="shared" ca="1" si="1"/>
        <v>288.89157769526003</v>
      </c>
      <c r="G14" s="222">
        <f t="shared" ca="1" si="2"/>
        <v>370.23871403017841</v>
      </c>
      <c r="H14" s="222">
        <f t="shared" ca="1" si="3"/>
        <v>459.86333656419919</v>
      </c>
      <c r="I14" s="222">
        <f t="shared" ca="1" si="4"/>
        <v>555.66606512073849</v>
      </c>
      <c r="J14" s="199"/>
      <c r="K14" s="223">
        <f ca="1">SUM(K9,K13)</f>
        <v>-88.968973998759409</v>
      </c>
      <c r="L14" s="223">
        <f t="shared" ref="L14:BR14" ca="1" si="12">SUM(L9,L13)</f>
        <v>-33.923651131804917</v>
      </c>
      <c r="M14" s="223">
        <f t="shared" ca="1" si="12"/>
        <v>11.257784278270552</v>
      </c>
      <c r="N14" s="223">
        <f t="shared" ca="1" si="12"/>
        <v>17.23283925137715</v>
      </c>
      <c r="O14" s="223">
        <f t="shared" ca="1" si="12"/>
        <v>17.85192502828636</v>
      </c>
      <c r="P14" s="223">
        <f t="shared" ca="1" si="12"/>
        <v>21.229106112945693</v>
      </c>
      <c r="Q14" s="223">
        <f t="shared" ca="1" si="12"/>
        <v>21.619178347131736</v>
      </c>
      <c r="R14" s="223">
        <f t="shared" ca="1" si="12"/>
        <v>22.271044425203588</v>
      </c>
      <c r="S14" s="223">
        <f t="shared" ca="1" si="12"/>
        <v>22.930365149612783</v>
      </c>
      <c r="T14" s="223">
        <f t="shared" ca="1" si="12"/>
        <v>23.597209963994182</v>
      </c>
      <c r="U14" s="223">
        <f t="shared" ca="1" si="12"/>
        <v>22.671648903911169</v>
      </c>
      <c r="V14" s="222">
        <f t="shared" ca="1" si="12"/>
        <v>36.146752601661035</v>
      </c>
      <c r="W14" s="223">
        <f t="shared" ca="1" si="12"/>
        <v>20.137409880403496</v>
      </c>
      <c r="X14" s="223">
        <f t="shared" ca="1" si="12"/>
        <v>21.257534137402857</v>
      </c>
      <c r="Y14" s="223">
        <f t="shared" ca="1" si="12"/>
        <v>21.940820730323843</v>
      </c>
      <c r="Z14" s="223">
        <f t="shared" ca="1" si="12"/>
        <v>22.614820078107126</v>
      </c>
      <c r="AA14" s="223">
        <f t="shared" ca="1" si="12"/>
        <v>23.214877187962102</v>
      </c>
      <c r="AB14" s="223">
        <f t="shared" ca="1" si="12"/>
        <v>23.819879056401401</v>
      </c>
      <c r="AC14" s="223">
        <f t="shared" ca="1" si="12"/>
        <v>24.429865187199493</v>
      </c>
      <c r="AD14" s="223">
        <f t="shared" ca="1" si="12"/>
        <v>25.044875392803466</v>
      </c>
      <c r="AE14" s="223">
        <f t="shared" ca="1" si="12"/>
        <v>25.664949796707045</v>
      </c>
      <c r="AF14" s="223">
        <f t="shared" ca="1" si="12"/>
        <v>26.290128835837915</v>
      </c>
      <c r="AG14" s="223">
        <f t="shared" ca="1" si="12"/>
        <v>26.920453262969126</v>
      </c>
      <c r="AH14" s="222">
        <f t="shared" ca="1" si="12"/>
        <v>27.555964149142149</v>
      </c>
      <c r="AI14" s="223">
        <f t="shared" ca="1" si="12"/>
        <v>27.201031321702391</v>
      </c>
      <c r="AJ14" s="223">
        <f t="shared" ca="1" si="12"/>
        <v>27.847039624412968</v>
      </c>
      <c r="AK14" s="223">
        <f t="shared" ca="1" si="12"/>
        <v>28.498359533457624</v>
      </c>
      <c r="AL14" s="223">
        <f t="shared" ca="1" si="12"/>
        <v>29.155033417596265</v>
      </c>
      <c r="AM14" s="223">
        <f t="shared" ca="1" si="12"/>
        <v>29.817103976269472</v>
      </c>
      <c r="AN14" s="223">
        <f t="shared" ca="1" si="12"/>
        <v>30.484614242140168</v>
      </c>
      <c r="AO14" s="223">
        <f t="shared" ca="1" si="12"/>
        <v>31.157607583648513</v>
      </c>
      <c r="AP14" s="223">
        <f t="shared" ca="1" si="12"/>
        <v>31.836127707593455</v>
      </c>
      <c r="AQ14" s="223">
        <f t="shared" ca="1" si="12"/>
        <v>32.520218661727696</v>
      </c>
      <c r="AR14" s="223">
        <f t="shared" ca="1" si="12"/>
        <v>33.209924837373919</v>
      </c>
      <c r="AS14" s="223">
        <f t="shared" ca="1" si="12"/>
        <v>33.905290972063383</v>
      </c>
      <c r="AT14" s="222">
        <f t="shared" ca="1" si="12"/>
        <v>34.606362152192546</v>
      </c>
      <c r="AU14" s="223">
        <f t="shared" ca="1" si="12"/>
        <v>34.293492303198093</v>
      </c>
      <c r="AV14" s="223">
        <f t="shared" ca="1" si="12"/>
        <v>35.00611024225622</v>
      </c>
      <c r="AW14" s="223">
        <f t="shared" ca="1" si="12"/>
        <v>35.724570605998657</v>
      </c>
      <c r="AX14" s="223">
        <f t="shared" ca="1" si="12"/>
        <v>36.448919903252133</v>
      </c>
      <c r="AY14" s="223">
        <f t="shared" ca="1" si="12"/>
        <v>37.179205005296133</v>
      </c>
      <c r="AZ14" s="223">
        <f t="shared" ca="1" si="12"/>
        <v>37.915473148643507</v>
      </c>
      <c r="BA14" s="223">
        <f t="shared" ca="1" si="12"/>
        <v>38.657771937841773</v>
      </c>
      <c r="BB14" s="223">
        <f t="shared" ca="1" si="12"/>
        <v>39.406149348292736</v>
      </c>
      <c r="BC14" s="223">
        <f t="shared" ca="1" si="12"/>
        <v>40.160653729099849</v>
      </c>
      <c r="BD14" s="223">
        <f t="shared" ca="1" si="12"/>
        <v>40.921333805929358</v>
      </c>
      <c r="BE14" s="223">
        <f t="shared" ca="1" si="12"/>
        <v>41.688238683900238</v>
      </c>
      <c r="BF14" s="222">
        <f t="shared" ca="1" si="12"/>
        <v>42.461417850490484</v>
      </c>
      <c r="BG14" s="223">
        <f t="shared" ca="1" si="12"/>
        <v>42.196585978785208</v>
      </c>
      <c r="BH14" s="223">
        <f t="shared" ca="1" si="12"/>
        <v>42.982463729162603</v>
      </c>
      <c r="BI14" s="223">
        <f t="shared" ca="1" si="12"/>
        <v>43.774766554169496</v>
      </c>
      <c r="BJ14" s="223">
        <f t="shared" ca="1" si="12"/>
        <v>44.573545500251278</v>
      </c>
      <c r="BK14" s="223">
        <f t="shared" ca="1" si="12"/>
        <v>45.378852011090508</v>
      </c>
      <c r="BL14" s="223">
        <f t="shared" ca="1" si="12"/>
        <v>46.190737930647622</v>
      </c>
      <c r="BM14" s="223">
        <f t="shared" ca="1" si="12"/>
        <v>41.009255506230595</v>
      </c>
      <c r="BN14" s="223">
        <f t="shared" ca="1" si="12"/>
        <v>47.834457391580976</v>
      </c>
      <c r="BO14" s="223">
        <f t="shared" ca="1" si="12"/>
        <v>48.666396649988158</v>
      </c>
      <c r="BP14" s="223">
        <f t="shared" ca="1" si="12"/>
        <v>51.505126757425913</v>
      </c>
      <c r="BQ14" s="223">
        <f t="shared" ca="1" si="12"/>
        <v>50.350701605712153</v>
      </c>
      <c r="BR14" s="222">
        <f t="shared" ca="1" si="12"/>
        <v>51.203175505693963</v>
      </c>
    </row>
    <row r="15" spans="1:70" s="14" customFormat="1" ht="13.2" hidden="1" x14ac:dyDescent="0.3">
      <c r="A15" s="13"/>
      <c r="B15" s="201"/>
      <c r="C15" s="14" t="str">
        <f>CapEx!C6</f>
        <v>Facility</v>
      </c>
      <c r="E15" s="217">
        <f t="shared" si="0"/>
        <v>0</v>
      </c>
      <c r="F15" s="217">
        <f t="shared" si="1"/>
        <v>0</v>
      </c>
      <c r="G15" s="217">
        <f t="shared" si="2"/>
        <v>0</v>
      </c>
      <c r="H15" s="217">
        <f t="shared" si="3"/>
        <v>0</v>
      </c>
      <c r="I15" s="217">
        <f t="shared" si="4"/>
        <v>0</v>
      </c>
      <c r="J15" s="16"/>
      <c r="K15" s="212">
        <f>-CapEx!K6</f>
        <v>0</v>
      </c>
      <c r="L15" s="213">
        <f>-CapEx!L6</f>
        <v>0</v>
      </c>
      <c r="M15" s="213">
        <f>-CapEx!M6</f>
        <v>0</v>
      </c>
      <c r="N15" s="213">
        <f>-CapEx!N6</f>
        <v>0</v>
      </c>
      <c r="O15" s="213">
        <f>-CapEx!O6</f>
        <v>0</v>
      </c>
      <c r="P15" s="213">
        <f>-CapEx!P6</f>
        <v>0</v>
      </c>
      <c r="Q15" s="213">
        <f>-CapEx!Q6</f>
        <v>0</v>
      </c>
      <c r="R15" s="213">
        <f>-CapEx!R6</f>
        <v>0</v>
      </c>
      <c r="S15" s="213">
        <f>-CapEx!S6</f>
        <v>0</v>
      </c>
      <c r="T15" s="213">
        <f>-CapEx!T6</f>
        <v>0</v>
      </c>
      <c r="U15" s="213">
        <f>-CapEx!U6</f>
        <v>0</v>
      </c>
      <c r="V15" s="217">
        <f>-CapEx!V6</f>
        <v>0</v>
      </c>
      <c r="W15" s="212">
        <f>-CapEx!W6</f>
        <v>0</v>
      </c>
      <c r="X15" s="213">
        <f>-CapEx!X6</f>
        <v>0</v>
      </c>
      <c r="Y15" s="213">
        <f>-CapEx!Y6</f>
        <v>0</v>
      </c>
      <c r="Z15" s="213">
        <f>-CapEx!Z6</f>
        <v>0</v>
      </c>
      <c r="AA15" s="213">
        <f>-CapEx!AA6</f>
        <v>0</v>
      </c>
      <c r="AB15" s="213">
        <f>-CapEx!AB6</f>
        <v>0</v>
      </c>
      <c r="AC15" s="213">
        <f>-CapEx!AC6</f>
        <v>0</v>
      </c>
      <c r="AD15" s="213">
        <f>-CapEx!AD6</f>
        <v>0</v>
      </c>
      <c r="AE15" s="213">
        <f>-CapEx!AE6</f>
        <v>0</v>
      </c>
      <c r="AF15" s="213">
        <f>-CapEx!AF6</f>
        <v>0</v>
      </c>
      <c r="AG15" s="213">
        <f>-CapEx!AG6</f>
        <v>0</v>
      </c>
      <c r="AH15" s="217">
        <f>-CapEx!AH6</f>
        <v>0</v>
      </c>
      <c r="AI15" s="212">
        <f>-CapEx!AI6</f>
        <v>0</v>
      </c>
      <c r="AJ15" s="213">
        <f>-CapEx!AJ6</f>
        <v>0</v>
      </c>
      <c r="AK15" s="213">
        <f>-CapEx!AK6</f>
        <v>0</v>
      </c>
      <c r="AL15" s="213">
        <f>-CapEx!AL6</f>
        <v>0</v>
      </c>
      <c r="AM15" s="213">
        <f>-CapEx!AM6</f>
        <v>0</v>
      </c>
      <c r="AN15" s="213">
        <f>-CapEx!AN6</f>
        <v>0</v>
      </c>
      <c r="AO15" s="213">
        <f>-CapEx!AO6</f>
        <v>0</v>
      </c>
      <c r="AP15" s="213">
        <f>-CapEx!AP6</f>
        <v>0</v>
      </c>
      <c r="AQ15" s="213">
        <f>-CapEx!AQ6</f>
        <v>0</v>
      </c>
      <c r="AR15" s="213">
        <f>-CapEx!AR6</f>
        <v>0</v>
      </c>
      <c r="AS15" s="213">
        <f>-CapEx!AS6</f>
        <v>0</v>
      </c>
      <c r="AT15" s="217">
        <f>-CapEx!AT6</f>
        <v>0</v>
      </c>
      <c r="AU15" s="212">
        <f>-CapEx!AU6</f>
        <v>0</v>
      </c>
      <c r="AV15" s="213">
        <f>-CapEx!AV6</f>
        <v>0</v>
      </c>
      <c r="AW15" s="213">
        <f>-CapEx!AW6</f>
        <v>0</v>
      </c>
      <c r="AX15" s="213">
        <f>-CapEx!AX6</f>
        <v>0</v>
      </c>
      <c r="AY15" s="213">
        <f>-CapEx!AY6</f>
        <v>0</v>
      </c>
      <c r="AZ15" s="213">
        <f>-CapEx!AZ6</f>
        <v>0</v>
      </c>
      <c r="BA15" s="213">
        <f>-CapEx!BA6</f>
        <v>0</v>
      </c>
      <c r="BB15" s="213">
        <f>-CapEx!BB6</f>
        <v>0</v>
      </c>
      <c r="BC15" s="213">
        <f>-CapEx!BC6</f>
        <v>0</v>
      </c>
      <c r="BD15" s="213">
        <f>-CapEx!BD6</f>
        <v>0</v>
      </c>
      <c r="BE15" s="213">
        <f>-CapEx!BE6</f>
        <v>0</v>
      </c>
      <c r="BF15" s="217">
        <f>-CapEx!BF6</f>
        <v>0</v>
      </c>
      <c r="BG15" s="212">
        <f>-CapEx!BG6</f>
        <v>0</v>
      </c>
      <c r="BH15" s="213">
        <f>-CapEx!BH6</f>
        <v>0</v>
      </c>
      <c r="BI15" s="213">
        <f>-CapEx!BI6</f>
        <v>0</v>
      </c>
      <c r="BJ15" s="213">
        <f>-CapEx!BJ6</f>
        <v>0</v>
      </c>
      <c r="BK15" s="213">
        <f>-CapEx!BK6</f>
        <v>0</v>
      </c>
      <c r="BL15" s="213">
        <f>-CapEx!BL6</f>
        <v>0</v>
      </c>
      <c r="BM15" s="213">
        <f>-CapEx!BM6</f>
        <v>0</v>
      </c>
      <c r="BN15" s="213">
        <f>-CapEx!BN6</f>
        <v>0</v>
      </c>
      <c r="BO15" s="213">
        <f>-CapEx!BO6</f>
        <v>0</v>
      </c>
      <c r="BP15" s="213">
        <f>-CapEx!BP6</f>
        <v>0</v>
      </c>
      <c r="BQ15" s="213">
        <f>-CapEx!BQ6</f>
        <v>0</v>
      </c>
      <c r="BR15" s="217">
        <f>-CapEx!BR6</f>
        <v>0</v>
      </c>
    </row>
    <row r="16" spans="1:70" s="14" customFormat="1" ht="13.2" hidden="1" x14ac:dyDescent="0.3">
      <c r="A16" s="13"/>
      <c r="B16" s="201"/>
      <c r="C16" s="14" t="str">
        <f>CapEx!C7</f>
        <v>Equip</v>
      </c>
      <c r="E16" s="217">
        <f t="shared" si="0"/>
        <v>-40</v>
      </c>
      <c r="F16" s="217">
        <f t="shared" si="1"/>
        <v>0</v>
      </c>
      <c r="G16" s="217">
        <f t="shared" si="2"/>
        <v>0</v>
      </c>
      <c r="H16" s="217">
        <f t="shared" si="3"/>
        <v>0</v>
      </c>
      <c r="I16" s="217">
        <f t="shared" si="4"/>
        <v>0</v>
      </c>
      <c r="J16" s="16"/>
      <c r="K16" s="212">
        <f>-CapEx!K7</f>
        <v>-40</v>
      </c>
      <c r="L16" s="213">
        <f>-CapEx!L7</f>
        <v>0</v>
      </c>
      <c r="M16" s="213">
        <f>-CapEx!M7</f>
        <v>0</v>
      </c>
      <c r="N16" s="213">
        <f>-CapEx!N7</f>
        <v>0</v>
      </c>
      <c r="O16" s="213">
        <f>-CapEx!O7</f>
        <v>0</v>
      </c>
      <c r="P16" s="213">
        <f>-CapEx!P7</f>
        <v>0</v>
      </c>
      <c r="Q16" s="213">
        <f>-CapEx!Q7</f>
        <v>0</v>
      </c>
      <c r="R16" s="213">
        <f>-CapEx!R7</f>
        <v>0</v>
      </c>
      <c r="S16" s="213">
        <f>-CapEx!S7</f>
        <v>0</v>
      </c>
      <c r="T16" s="213">
        <f>-CapEx!T7</f>
        <v>0</v>
      </c>
      <c r="U16" s="213">
        <f>-CapEx!U7</f>
        <v>0</v>
      </c>
      <c r="V16" s="217">
        <f>-CapEx!V7</f>
        <v>0</v>
      </c>
      <c r="W16" s="212">
        <f>-CapEx!W7</f>
        <v>0</v>
      </c>
      <c r="X16" s="213">
        <f>-CapEx!X7</f>
        <v>0</v>
      </c>
      <c r="Y16" s="213">
        <f>-CapEx!Y7</f>
        <v>0</v>
      </c>
      <c r="Z16" s="213">
        <f>-CapEx!Z7</f>
        <v>0</v>
      </c>
      <c r="AA16" s="213">
        <f>-CapEx!AA7</f>
        <v>0</v>
      </c>
      <c r="AB16" s="213">
        <f>-CapEx!AB7</f>
        <v>0</v>
      </c>
      <c r="AC16" s="213">
        <f>-CapEx!AC7</f>
        <v>0</v>
      </c>
      <c r="AD16" s="213">
        <f>-CapEx!AD7</f>
        <v>0</v>
      </c>
      <c r="AE16" s="213">
        <f>-CapEx!AE7</f>
        <v>0</v>
      </c>
      <c r="AF16" s="213">
        <f>-CapEx!AF7</f>
        <v>0</v>
      </c>
      <c r="AG16" s="213">
        <f>-CapEx!AG7</f>
        <v>0</v>
      </c>
      <c r="AH16" s="217">
        <f>-CapEx!AH7</f>
        <v>0</v>
      </c>
      <c r="AI16" s="212">
        <f>-CapEx!AI7</f>
        <v>0</v>
      </c>
      <c r="AJ16" s="213">
        <f>-CapEx!AJ7</f>
        <v>0</v>
      </c>
      <c r="AK16" s="213">
        <f>-CapEx!AK7</f>
        <v>0</v>
      </c>
      <c r="AL16" s="213">
        <f>-CapEx!AL7</f>
        <v>0</v>
      </c>
      <c r="AM16" s="213">
        <f>-CapEx!AM7</f>
        <v>0</v>
      </c>
      <c r="AN16" s="213">
        <f>-CapEx!AN7</f>
        <v>0</v>
      </c>
      <c r="AO16" s="213">
        <f>-CapEx!AO7</f>
        <v>0</v>
      </c>
      <c r="AP16" s="213">
        <f>-CapEx!AP7</f>
        <v>0</v>
      </c>
      <c r="AQ16" s="213">
        <f>-CapEx!AQ7</f>
        <v>0</v>
      </c>
      <c r="AR16" s="213">
        <f>-CapEx!AR7</f>
        <v>0</v>
      </c>
      <c r="AS16" s="213">
        <f>-CapEx!AS7</f>
        <v>0</v>
      </c>
      <c r="AT16" s="217">
        <f>-CapEx!AT7</f>
        <v>0</v>
      </c>
      <c r="AU16" s="212">
        <f>-CapEx!AU7</f>
        <v>0</v>
      </c>
      <c r="AV16" s="213">
        <f>-CapEx!AV7</f>
        <v>0</v>
      </c>
      <c r="AW16" s="213">
        <f>-CapEx!AW7</f>
        <v>0</v>
      </c>
      <c r="AX16" s="213">
        <f>-CapEx!AX7</f>
        <v>0</v>
      </c>
      <c r="AY16" s="213">
        <f>-CapEx!AY7</f>
        <v>0</v>
      </c>
      <c r="AZ16" s="213">
        <f>-CapEx!AZ7</f>
        <v>0</v>
      </c>
      <c r="BA16" s="213">
        <f>-CapEx!BA7</f>
        <v>0</v>
      </c>
      <c r="BB16" s="213">
        <f>-CapEx!BB7</f>
        <v>0</v>
      </c>
      <c r="BC16" s="213">
        <f>-CapEx!BC7</f>
        <v>0</v>
      </c>
      <c r="BD16" s="213">
        <f>-CapEx!BD7</f>
        <v>0</v>
      </c>
      <c r="BE16" s="213">
        <f>-CapEx!BE7</f>
        <v>0</v>
      </c>
      <c r="BF16" s="217">
        <f>-CapEx!BF7</f>
        <v>0</v>
      </c>
      <c r="BG16" s="212">
        <f>-CapEx!BG7</f>
        <v>0</v>
      </c>
      <c r="BH16" s="213">
        <f>-CapEx!BH7</f>
        <v>0</v>
      </c>
      <c r="BI16" s="213">
        <f>-CapEx!BI7</f>
        <v>0</v>
      </c>
      <c r="BJ16" s="213">
        <f>-CapEx!BJ7</f>
        <v>0</v>
      </c>
      <c r="BK16" s="213">
        <f>-CapEx!BK7</f>
        <v>0</v>
      </c>
      <c r="BL16" s="213">
        <f>-CapEx!BL7</f>
        <v>0</v>
      </c>
      <c r="BM16" s="213">
        <f>-CapEx!BM7</f>
        <v>0</v>
      </c>
      <c r="BN16" s="213">
        <f>-CapEx!BN7</f>
        <v>0</v>
      </c>
      <c r="BO16" s="213">
        <f>-CapEx!BO7</f>
        <v>0</v>
      </c>
      <c r="BP16" s="213">
        <f>-CapEx!BP7</f>
        <v>0</v>
      </c>
      <c r="BQ16" s="213">
        <f>-CapEx!BQ7</f>
        <v>0</v>
      </c>
      <c r="BR16" s="217">
        <f>-CapEx!BR7</f>
        <v>0</v>
      </c>
    </row>
    <row r="17" spans="1:70" s="14" customFormat="1" ht="13.2" hidden="1" x14ac:dyDescent="0.3">
      <c r="A17" s="13"/>
      <c r="B17" s="201"/>
      <c r="C17" s="14" t="str">
        <f>CapEx!C8</f>
        <v>Fixture</v>
      </c>
      <c r="E17" s="217">
        <f t="shared" si="0"/>
        <v>0</v>
      </c>
      <c r="F17" s="217">
        <f t="shared" si="1"/>
        <v>0</v>
      </c>
      <c r="G17" s="217">
        <f t="shared" si="2"/>
        <v>0</v>
      </c>
      <c r="H17" s="217">
        <f t="shared" si="3"/>
        <v>0</v>
      </c>
      <c r="I17" s="217">
        <f t="shared" si="4"/>
        <v>0</v>
      </c>
      <c r="J17" s="16"/>
      <c r="K17" s="212">
        <f>-CapEx!K8</f>
        <v>0</v>
      </c>
      <c r="L17" s="213">
        <f>-CapEx!L8</f>
        <v>0</v>
      </c>
      <c r="M17" s="213">
        <f>-CapEx!M8</f>
        <v>0</v>
      </c>
      <c r="N17" s="213">
        <f>-CapEx!N8</f>
        <v>0</v>
      </c>
      <c r="O17" s="213">
        <f>-CapEx!O8</f>
        <v>0</v>
      </c>
      <c r="P17" s="213">
        <f>-CapEx!P8</f>
        <v>0</v>
      </c>
      <c r="Q17" s="213">
        <f>-CapEx!Q8</f>
        <v>0</v>
      </c>
      <c r="R17" s="213">
        <f>-CapEx!R8</f>
        <v>0</v>
      </c>
      <c r="S17" s="213">
        <f>-CapEx!S8</f>
        <v>0</v>
      </c>
      <c r="T17" s="213">
        <f>-CapEx!T8</f>
        <v>0</v>
      </c>
      <c r="U17" s="213">
        <f>-CapEx!U8</f>
        <v>0</v>
      </c>
      <c r="V17" s="217">
        <f>-CapEx!V8</f>
        <v>0</v>
      </c>
      <c r="W17" s="212">
        <f>-CapEx!W8</f>
        <v>0</v>
      </c>
      <c r="X17" s="213">
        <f>-CapEx!X8</f>
        <v>0</v>
      </c>
      <c r="Y17" s="213">
        <f>-CapEx!Y8</f>
        <v>0</v>
      </c>
      <c r="Z17" s="213">
        <f>-CapEx!Z8</f>
        <v>0</v>
      </c>
      <c r="AA17" s="213">
        <f>-CapEx!AA8</f>
        <v>0</v>
      </c>
      <c r="AB17" s="213">
        <f>-CapEx!AB8</f>
        <v>0</v>
      </c>
      <c r="AC17" s="213">
        <f>-CapEx!AC8</f>
        <v>0</v>
      </c>
      <c r="AD17" s="213">
        <f>-CapEx!AD8</f>
        <v>0</v>
      </c>
      <c r="AE17" s="213">
        <f>-CapEx!AE8</f>
        <v>0</v>
      </c>
      <c r="AF17" s="213">
        <f>-CapEx!AF8</f>
        <v>0</v>
      </c>
      <c r="AG17" s="213">
        <f>-CapEx!AG8</f>
        <v>0</v>
      </c>
      <c r="AH17" s="217">
        <f>-CapEx!AH8</f>
        <v>0</v>
      </c>
      <c r="AI17" s="212">
        <f>-CapEx!AI8</f>
        <v>0</v>
      </c>
      <c r="AJ17" s="213">
        <f>-CapEx!AJ8</f>
        <v>0</v>
      </c>
      <c r="AK17" s="213">
        <f>-CapEx!AK8</f>
        <v>0</v>
      </c>
      <c r="AL17" s="213">
        <f>-CapEx!AL8</f>
        <v>0</v>
      </c>
      <c r="AM17" s="213">
        <f>-CapEx!AM8</f>
        <v>0</v>
      </c>
      <c r="AN17" s="213">
        <f>-CapEx!AN8</f>
        <v>0</v>
      </c>
      <c r="AO17" s="213">
        <f>-CapEx!AO8</f>
        <v>0</v>
      </c>
      <c r="AP17" s="213">
        <f>-CapEx!AP8</f>
        <v>0</v>
      </c>
      <c r="AQ17" s="213">
        <f>-CapEx!AQ8</f>
        <v>0</v>
      </c>
      <c r="AR17" s="213">
        <f>-CapEx!AR8</f>
        <v>0</v>
      </c>
      <c r="AS17" s="213">
        <f>-CapEx!AS8</f>
        <v>0</v>
      </c>
      <c r="AT17" s="217">
        <f>-CapEx!AT8</f>
        <v>0</v>
      </c>
      <c r="AU17" s="212">
        <f>-CapEx!AU8</f>
        <v>0</v>
      </c>
      <c r="AV17" s="213">
        <f>-CapEx!AV8</f>
        <v>0</v>
      </c>
      <c r="AW17" s="213">
        <f>-CapEx!AW8</f>
        <v>0</v>
      </c>
      <c r="AX17" s="213">
        <f>-CapEx!AX8</f>
        <v>0</v>
      </c>
      <c r="AY17" s="213">
        <f>-CapEx!AY8</f>
        <v>0</v>
      </c>
      <c r="AZ17" s="213">
        <f>-CapEx!AZ8</f>
        <v>0</v>
      </c>
      <c r="BA17" s="213">
        <f>-CapEx!BA8</f>
        <v>0</v>
      </c>
      <c r="BB17" s="213">
        <f>-CapEx!BB8</f>
        <v>0</v>
      </c>
      <c r="BC17" s="213">
        <f>-CapEx!BC8</f>
        <v>0</v>
      </c>
      <c r="BD17" s="213">
        <f>-CapEx!BD8</f>
        <v>0</v>
      </c>
      <c r="BE17" s="213">
        <f>-CapEx!BE8</f>
        <v>0</v>
      </c>
      <c r="BF17" s="217">
        <f>-CapEx!BF8</f>
        <v>0</v>
      </c>
      <c r="BG17" s="212">
        <f>-CapEx!BG8</f>
        <v>0</v>
      </c>
      <c r="BH17" s="213">
        <f>-CapEx!BH8</f>
        <v>0</v>
      </c>
      <c r="BI17" s="213">
        <f>-CapEx!BI8</f>
        <v>0</v>
      </c>
      <c r="BJ17" s="213">
        <f>-CapEx!BJ8</f>
        <v>0</v>
      </c>
      <c r="BK17" s="213">
        <f>-CapEx!BK8</f>
        <v>0</v>
      </c>
      <c r="BL17" s="213">
        <f>-CapEx!BL8</f>
        <v>0</v>
      </c>
      <c r="BM17" s="213">
        <f>-CapEx!BM8</f>
        <v>0</v>
      </c>
      <c r="BN17" s="213">
        <f>-CapEx!BN8</f>
        <v>0</v>
      </c>
      <c r="BO17" s="213">
        <f>-CapEx!BO8</f>
        <v>0</v>
      </c>
      <c r="BP17" s="213">
        <f>-CapEx!BP8</f>
        <v>0</v>
      </c>
      <c r="BQ17" s="213">
        <f>-CapEx!BQ8</f>
        <v>0</v>
      </c>
      <c r="BR17" s="217">
        <f>-CapEx!BR8</f>
        <v>0</v>
      </c>
    </row>
    <row r="18" spans="1:70" s="14" customFormat="1" ht="13.2" hidden="1" x14ac:dyDescent="0.3">
      <c r="A18" s="13"/>
      <c r="B18" s="201"/>
      <c r="C18" s="14" t="str">
        <f>CapEx!C9</f>
        <v>Intang</v>
      </c>
      <c r="E18" s="217">
        <f t="shared" si="0"/>
        <v>-100</v>
      </c>
      <c r="F18" s="217">
        <f t="shared" si="1"/>
        <v>0</v>
      </c>
      <c r="G18" s="217">
        <f t="shared" si="2"/>
        <v>0</v>
      </c>
      <c r="H18" s="217">
        <f t="shared" si="3"/>
        <v>0</v>
      </c>
      <c r="I18" s="217">
        <f t="shared" si="4"/>
        <v>0</v>
      </c>
      <c r="J18" s="16"/>
      <c r="K18" s="212">
        <f>-CapEx!K9</f>
        <v>0</v>
      </c>
      <c r="L18" s="213">
        <f>-CapEx!L9</f>
        <v>0</v>
      </c>
      <c r="M18" s="213">
        <f>-CapEx!M9</f>
        <v>0</v>
      </c>
      <c r="N18" s="213">
        <f>-CapEx!N9</f>
        <v>0</v>
      </c>
      <c r="O18" s="213">
        <f>-CapEx!O9</f>
        <v>0</v>
      </c>
      <c r="P18" s="213">
        <f>-CapEx!P9</f>
        <v>-100</v>
      </c>
      <c r="Q18" s="213">
        <f>-CapEx!Q9</f>
        <v>0</v>
      </c>
      <c r="R18" s="213">
        <f>-CapEx!R9</f>
        <v>0</v>
      </c>
      <c r="S18" s="213">
        <f>-CapEx!S9</f>
        <v>0</v>
      </c>
      <c r="T18" s="213">
        <f>-CapEx!T9</f>
        <v>0</v>
      </c>
      <c r="U18" s="213">
        <f>-CapEx!U9</f>
        <v>0</v>
      </c>
      <c r="V18" s="217">
        <f>-CapEx!V9</f>
        <v>0</v>
      </c>
      <c r="W18" s="212">
        <f>-CapEx!W9</f>
        <v>0</v>
      </c>
      <c r="X18" s="213">
        <f>-CapEx!X9</f>
        <v>0</v>
      </c>
      <c r="Y18" s="213">
        <f>-CapEx!Y9</f>
        <v>0</v>
      </c>
      <c r="Z18" s="213">
        <f>-CapEx!Z9</f>
        <v>0</v>
      </c>
      <c r="AA18" s="213">
        <f>-CapEx!AA9</f>
        <v>0</v>
      </c>
      <c r="AB18" s="213">
        <f>-CapEx!AB9</f>
        <v>0</v>
      </c>
      <c r="AC18" s="213">
        <f>-CapEx!AC9</f>
        <v>0</v>
      </c>
      <c r="AD18" s="213">
        <f>-CapEx!AD9</f>
        <v>0</v>
      </c>
      <c r="AE18" s="213">
        <f>-CapEx!AE9</f>
        <v>0</v>
      </c>
      <c r="AF18" s="213">
        <f>-CapEx!AF9</f>
        <v>0</v>
      </c>
      <c r="AG18" s="213">
        <f>-CapEx!AG9</f>
        <v>0</v>
      </c>
      <c r="AH18" s="217">
        <f>-CapEx!AH9</f>
        <v>0</v>
      </c>
      <c r="AI18" s="212">
        <f>-CapEx!AI9</f>
        <v>0</v>
      </c>
      <c r="AJ18" s="213">
        <f>-CapEx!AJ9</f>
        <v>0</v>
      </c>
      <c r="AK18" s="213">
        <f>-CapEx!AK9</f>
        <v>0</v>
      </c>
      <c r="AL18" s="213">
        <f>-CapEx!AL9</f>
        <v>0</v>
      </c>
      <c r="AM18" s="213">
        <f>-CapEx!AM9</f>
        <v>0</v>
      </c>
      <c r="AN18" s="213">
        <f>-CapEx!AN9</f>
        <v>0</v>
      </c>
      <c r="AO18" s="213">
        <f>-CapEx!AO9</f>
        <v>0</v>
      </c>
      <c r="AP18" s="213">
        <f>-CapEx!AP9</f>
        <v>0</v>
      </c>
      <c r="AQ18" s="213">
        <f>-CapEx!AQ9</f>
        <v>0</v>
      </c>
      <c r="AR18" s="213">
        <f>-CapEx!AR9</f>
        <v>0</v>
      </c>
      <c r="AS18" s="213">
        <f>-CapEx!AS9</f>
        <v>0</v>
      </c>
      <c r="AT18" s="217">
        <f>-CapEx!AT9</f>
        <v>0</v>
      </c>
      <c r="AU18" s="212">
        <f>-CapEx!AU9</f>
        <v>0</v>
      </c>
      <c r="AV18" s="213">
        <f>-CapEx!AV9</f>
        <v>0</v>
      </c>
      <c r="AW18" s="213">
        <f>-CapEx!AW9</f>
        <v>0</v>
      </c>
      <c r="AX18" s="213">
        <f>-CapEx!AX9</f>
        <v>0</v>
      </c>
      <c r="AY18" s="213">
        <f>-CapEx!AY9</f>
        <v>0</v>
      </c>
      <c r="AZ18" s="213">
        <f>-CapEx!AZ9</f>
        <v>0</v>
      </c>
      <c r="BA18" s="213">
        <f>-CapEx!BA9</f>
        <v>0</v>
      </c>
      <c r="BB18" s="213">
        <f>-CapEx!BB9</f>
        <v>0</v>
      </c>
      <c r="BC18" s="213">
        <f>-CapEx!BC9</f>
        <v>0</v>
      </c>
      <c r="BD18" s="213">
        <f>-CapEx!BD9</f>
        <v>0</v>
      </c>
      <c r="BE18" s="213">
        <f>-CapEx!BE9</f>
        <v>0</v>
      </c>
      <c r="BF18" s="217">
        <f>-CapEx!BF9</f>
        <v>0</v>
      </c>
      <c r="BG18" s="212">
        <f>-CapEx!BG9</f>
        <v>0</v>
      </c>
      <c r="BH18" s="213">
        <f>-CapEx!BH9</f>
        <v>0</v>
      </c>
      <c r="BI18" s="213">
        <f>-CapEx!BI9</f>
        <v>0</v>
      </c>
      <c r="BJ18" s="213">
        <f>-CapEx!BJ9</f>
        <v>0</v>
      </c>
      <c r="BK18" s="213">
        <f>-CapEx!BK9</f>
        <v>0</v>
      </c>
      <c r="BL18" s="213">
        <f>-CapEx!BL9</f>
        <v>0</v>
      </c>
      <c r="BM18" s="213">
        <f>-CapEx!BM9</f>
        <v>0</v>
      </c>
      <c r="BN18" s="213">
        <f>-CapEx!BN9</f>
        <v>0</v>
      </c>
      <c r="BO18" s="213">
        <f>-CapEx!BO9</f>
        <v>0</v>
      </c>
      <c r="BP18" s="213">
        <f>-CapEx!BP9</f>
        <v>0</v>
      </c>
      <c r="BQ18" s="213">
        <f>-CapEx!BQ9</f>
        <v>0</v>
      </c>
      <c r="BR18" s="217">
        <f>-CapEx!BR9</f>
        <v>0</v>
      </c>
    </row>
    <row r="19" spans="1:70" s="14" customFormat="1" ht="13.2" hidden="1" x14ac:dyDescent="0.3">
      <c r="A19" s="13"/>
      <c r="B19" s="201"/>
      <c r="C19" s="14" t="str">
        <f>CapEx!C10</f>
        <v>Land</v>
      </c>
      <c r="E19" s="217">
        <f t="shared" si="0"/>
        <v>-50</v>
      </c>
      <c r="F19" s="217">
        <f t="shared" si="1"/>
        <v>0</v>
      </c>
      <c r="G19" s="217">
        <f t="shared" si="2"/>
        <v>0</v>
      </c>
      <c r="H19" s="217">
        <f t="shared" si="3"/>
        <v>0</v>
      </c>
      <c r="I19" s="217">
        <f t="shared" si="4"/>
        <v>0</v>
      </c>
      <c r="J19" s="16"/>
      <c r="K19" s="212">
        <f>-CapEx!K10</f>
        <v>0</v>
      </c>
      <c r="L19" s="213">
        <f>-CapEx!L10</f>
        <v>0</v>
      </c>
      <c r="M19" s="213">
        <f>-CapEx!M10</f>
        <v>-50</v>
      </c>
      <c r="N19" s="213">
        <f>-CapEx!N10</f>
        <v>0</v>
      </c>
      <c r="O19" s="213">
        <f>-CapEx!O10</f>
        <v>0</v>
      </c>
      <c r="P19" s="213">
        <f>-CapEx!P10</f>
        <v>0</v>
      </c>
      <c r="Q19" s="213">
        <f>-CapEx!Q10</f>
        <v>0</v>
      </c>
      <c r="R19" s="213">
        <f>-CapEx!R10</f>
        <v>0</v>
      </c>
      <c r="S19" s="213">
        <f>-CapEx!S10</f>
        <v>0</v>
      </c>
      <c r="T19" s="213">
        <f>-CapEx!T10</f>
        <v>0</v>
      </c>
      <c r="U19" s="213">
        <f>-CapEx!U10</f>
        <v>0</v>
      </c>
      <c r="V19" s="217">
        <f>-CapEx!V10</f>
        <v>0</v>
      </c>
      <c r="W19" s="212">
        <f>-CapEx!W10</f>
        <v>0</v>
      </c>
      <c r="X19" s="213">
        <f>-CapEx!X10</f>
        <v>0</v>
      </c>
      <c r="Y19" s="213">
        <f>-CapEx!Y10</f>
        <v>0</v>
      </c>
      <c r="Z19" s="213">
        <f>-CapEx!Z10</f>
        <v>0</v>
      </c>
      <c r="AA19" s="213">
        <f>-CapEx!AA10</f>
        <v>0</v>
      </c>
      <c r="AB19" s="213">
        <f>-CapEx!AB10</f>
        <v>0</v>
      </c>
      <c r="AC19" s="213">
        <f>-CapEx!AC10</f>
        <v>0</v>
      </c>
      <c r="AD19" s="213">
        <f>-CapEx!AD10</f>
        <v>0</v>
      </c>
      <c r="AE19" s="213">
        <f>-CapEx!AE10</f>
        <v>0</v>
      </c>
      <c r="AF19" s="213">
        <f>-CapEx!AF10</f>
        <v>0</v>
      </c>
      <c r="AG19" s="213">
        <f>-CapEx!AG10</f>
        <v>0</v>
      </c>
      <c r="AH19" s="217">
        <f>-CapEx!AH10</f>
        <v>0</v>
      </c>
      <c r="AI19" s="212">
        <f>-CapEx!AI10</f>
        <v>0</v>
      </c>
      <c r="AJ19" s="213">
        <f>-CapEx!AJ10</f>
        <v>0</v>
      </c>
      <c r="AK19" s="213">
        <f>-CapEx!AK10</f>
        <v>0</v>
      </c>
      <c r="AL19" s="213">
        <f>-CapEx!AL10</f>
        <v>0</v>
      </c>
      <c r="AM19" s="213">
        <f>-CapEx!AM10</f>
        <v>0</v>
      </c>
      <c r="AN19" s="213">
        <f>-CapEx!AN10</f>
        <v>0</v>
      </c>
      <c r="AO19" s="213">
        <f>-CapEx!AO10</f>
        <v>0</v>
      </c>
      <c r="AP19" s="213">
        <f>-CapEx!AP10</f>
        <v>0</v>
      </c>
      <c r="AQ19" s="213">
        <f>-CapEx!AQ10</f>
        <v>0</v>
      </c>
      <c r="AR19" s="213">
        <f>-CapEx!AR10</f>
        <v>0</v>
      </c>
      <c r="AS19" s="213">
        <f>-CapEx!AS10</f>
        <v>0</v>
      </c>
      <c r="AT19" s="217">
        <f>-CapEx!AT10</f>
        <v>0</v>
      </c>
      <c r="AU19" s="212">
        <f>-CapEx!AU10</f>
        <v>0</v>
      </c>
      <c r="AV19" s="213">
        <f>-CapEx!AV10</f>
        <v>0</v>
      </c>
      <c r="AW19" s="213">
        <f>-CapEx!AW10</f>
        <v>0</v>
      </c>
      <c r="AX19" s="213">
        <f>-CapEx!AX10</f>
        <v>0</v>
      </c>
      <c r="AY19" s="213">
        <f>-CapEx!AY10</f>
        <v>0</v>
      </c>
      <c r="AZ19" s="213">
        <f>-CapEx!AZ10</f>
        <v>0</v>
      </c>
      <c r="BA19" s="213">
        <f>-CapEx!BA10</f>
        <v>0</v>
      </c>
      <c r="BB19" s="213">
        <f>-CapEx!BB10</f>
        <v>0</v>
      </c>
      <c r="BC19" s="213">
        <f>-CapEx!BC10</f>
        <v>0</v>
      </c>
      <c r="BD19" s="213">
        <f>-CapEx!BD10</f>
        <v>0</v>
      </c>
      <c r="BE19" s="213">
        <f>-CapEx!BE10</f>
        <v>0</v>
      </c>
      <c r="BF19" s="217">
        <f>-CapEx!BF10</f>
        <v>0</v>
      </c>
      <c r="BG19" s="212">
        <f>-CapEx!BG10</f>
        <v>0</v>
      </c>
      <c r="BH19" s="213">
        <f>-CapEx!BH10</f>
        <v>0</v>
      </c>
      <c r="BI19" s="213">
        <f>-CapEx!BI10</f>
        <v>0</v>
      </c>
      <c r="BJ19" s="213">
        <f>-CapEx!BJ10</f>
        <v>0</v>
      </c>
      <c r="BK19" s="213">
        <f>-CapEx!BK10</f>
        <v>0</v>
      </c>
      <c r="BL19" s="213">
        <f>-CapEx!BL10</f>
        <v>0</v>
      </c>
      <c r="BM19" s="213">
        <f>-CapEx!BM10</f>
        <v>0</v>
      </c>
      <c r="BN19" s="213">
        <f>-CapEx!BN10</f>
        <v>0</v>
      </c>
      <c r="BO19" s="213">
        <f>-CapEx!BO10</f>
        <v>0</v>
      </c>
      <c r="BP19" s="213">
        <f>-CapEx!BP10</f>
        <v>0</v>
      </c>
      <c r="BQ19" s="213">
        <f>-CapEx!BQ10</f>
        <v>0</v>
      </c>
      <c r="BR19" s="217">
        <f>-CapEx!BR10</f>
        <v>0</v>
      </c>
    </row>
    <row r="20" spans="1:70" s="14" customFormat="1" ht="13.2" hidden="1" x14ac:dyDescent="0.3">
      <c r="A20" s="13"/>
      <c r="B20" s="201"/>
      <c r="C20" s="180" t="str">
        <f>CapEx!C11</f>
        <v>All other</v>
      </c>
      <c r="E20" s="224">
        <f t="shared" si="0"/>
        <v>0</v>
      </c>
      <c r="F20" s="224">
        <f t="shared" si="1"/>
        <v>0</v>
      </c>
      <c r="G20" s="224">
        <f t="shared" si="2"/>
        <v>0</v>
      </c>
      <c r="H20" s="224">
        <f t="shared" si="3"/>
        <v>0</v>
      </c>
      <c r="I20" s="224">
        <f t="shared" si="4"/>
        <v>0</v>
      </c>
      <c r="J20" s="16"/>
      <c r="K20" s="216">
        <f>-CapEx!K11</f>
        <v>0</v>
      </c>
      <c r="L20" s="216">
        <f>-CapEx!L11</f>
        <v>0</v>
      </c>
      <c r="M20" s="216">
        <f>-CapEx!M11</f>
        <v>0</v>
      </c>
      <c r="N20" s="216">
        <f>-CapEx!N11</f>
        <v>0</v>
      </c>
      <c r="O20" s="216">
        <f>-CapEx!O11</f>
        <v>0</v>
      </c>
      <c r="P20" s="216">
        <f>-CapEx!P11</f>
        <v>0</v>
      </c>
      <c r="Q20" s="216">
        <f>-CapEx!Q11</f>
        <v>0</v>
      </c>
      <c r="R20" s="216">
        <f>-CapEx!R11</f>
        <v>0</v>
      </c>
      <c r="S20" s="216">
        <f>-CapEx!S11</f>
        <v>0</v>
      </c>
      <c r="T20" s="216">
        <f>-CapEx!T11</f>
        <v>0</v>
      </c>
      <c r="U20" s="216">
        <f>-CapEx!U11</f>
        <v>0</v>
      </c>
      <c r="V20" s="224">
        <f>-CapEx!V11</f>
        <v>0</v>
      </c>
      <c r="W20" s="216">
        <f>-CapEx!W11</f>
        <v>0</v>
      </c>
      <c r="X20" s="216">
        <f>-CapEx!X11</f>
        <v>0</v>
      </c>
      <c r="Y20" s="216">
        <f>-CapEx!Y11</f>
        <v>0</v>
      </c>
      <c r="Z20" s="216">
        <f>-CapEx!Z11</f>
        <v>0</v>
      </c>
      <c r="AA20" s="216">
        <f>-CapEx!AA11</f>
        <v>0</v>
      </c>
      <c r="AB20" s="216">
        <f>-CapEx!AB11</f>
        <v>0</v>
      </c>
      <c r="AC20" s="216">
        <f>-CapEx!AC11</f>
        <v>0</v>
      </c>
      <c r="AD20" s="216">
        <f>-CapEx!AD11</f>
        <v>0</v>
      </c>
      <c r="AE20" s="216">
        <f>-CapEx!AE11</f>
        <v>0</v>
      </c>
      <c r="AF20" s="216">
        <f>-CapEx!AF11</f>
        <v>0</v>
      </c>
      <c r="AG20" s="216">
        <f>-CapEx!AG11</f>
        <v>0</v>
      </c>
      <c r="AH20" s="224">
        <f>-CapEx!AH11</f>
        <v>0</v>
      </c>
      <c r="AI20" s="216">
        <f>-CapEx!AI11</f>
        <v>0</v>
      </c>
      <c r="AJ20" s="216">
        <f>-CapEx!AJ11</f>
        <v>0</v>
      </c>
      <c r="AK20" s="216">
        <f>-CapEx!AK11</f>
        <v>0</v>
      </c>
      <c r="AL20" s="216">
        <f>-CapEx!AL11</f>
        <v>0</v>
      </c>
      <c r="AM20" s="216">
        <f>-CapEx!AM11</f>
        <v>0</v>
      </c>
      <c r="AN20" s="216">
        <f>-CapEx!AN11</f>
        <v>0</v>
      </c>
      <c r="AO20" s="216">
        <f>-CapEx!AO11</f>
        <v>0</v>
      </c>
      <c r="AP20" s="216">
        <f>-CapEx!AP11</f>
        <v>0</v>
      </c>
      <c r="AQ20" s="216">
        <f>-CapEx!AQ11</f>
        <v>0</v>
      </c>
      <c r="AR20" s="216">
        <f>-CapEx!AR11</f>
        <v>0</v>
      </c>
      <c r="AS20" s="216">
        <f>-CapEx!AS11</f>
        <v>0</v>
      </c>
      <c r="AT20" s="224">
        <f>-CapEx!AT11</f>
        <v>0</v>
      </c>
      <c r="AU20" s="216">
        <f>-CapEx!AU11</f>
        <v>0</v>
      </c>
      <c r="AV20" s="216">
        <f>-CapEx!AV11</f>
        <v>0</v>
      </c>
      <c r="AW20" s="216">
        <f>-CapEx!AW11</f>
        <v>0</v>
      </c>
      <c r="AX20" s="216">
        <f>-CapEx!AX11</f>
        <v>0</v>
      </c>
      <c r="AY20" s="216">
        <f>-CapEx!AY11</f>
        <v>0</v>
      </c>
      <c r="AZ20" s="216">
        <f>-CapEx!AZ11</f>
        <v>0</v>
      </c>
      <c r="BA20" s="216">
        <f>-CapEx!BA11</f>
        <v>0</v>
      </c>
      <c r="BB20" s="216">
        <f>-CapEx!BB11</f>
        <v>0</v>
      </c>
      <c r="BC20" s="216">
        <f>-CapEx!BC11</f>
        <v>0</v>
      </c>
      <c r="BD20" s="216">
        <f>-CapEx!BD11</f>
        <v>0</v>
      </c>
      <c r="BE20" s="216">
        <f>-CapEx!BE11</f>
        <v>0</v>
      </c>
      <c r="BF20" s="224">
        <f>-CapEx!BF11</f>
        <v>0</v>
      </c>
      <c r="BG20" s="216">
        <f>-CapEx!BG11</f>
        <v>0</v>
      </c>
      <c r="BH20" s="216">
        <f>-CapEx!BH11</f>
        <v>0</v>
      </c>
      <c r="BI20" s="216">
        <f>-CapEx!BI11</f>
        <v>0</v>
      </c>
      <c r="BJ20" s="216">
        <f>-CapEx!BJ11</f>
        <v>0</v>
      </c>
      <c r="BK20" s="216">
        <f>-CapEx!BK11</f>
        <v>0</v>
      </c>
      <c r="BL20" s="216">
        <f>-CapEx!BL11</f>
        <v>0</v>
      </c>
      <c r="BM20" s="216">
        <f>-CapEx!BM11</f>
        <v>0</v>
      </c>
      <c r="BN20" s="216">
        <f>-CapEx!BN11</f>
        <v>0</v>
      </c>
      <c r="BO20" s="216">
        <f>-CapEx!BO11</f>
        <v>0</v>
      </c>
      <c r="BP20" s="216">
        <f>-CapEx!BP11</f>
        <v>0</v>
      </c>
      <c r="BQ20" s="216">
        <f>-CapEx!BQ11</f>
        <v>0</v>
      </c>
      <c r="BR20" s="224">
        <f>-CapEx!BR11</f>
        <v>0</v>
      </c>
    </row>
    <row r="21" spans="1:70" s="14" customFormat="1" ht="13.2" x14ac:dyDescent="0.3">
      <c r="A21" s="13"/>
      <c r="B21" s="201"/>
      <c r="C21" s="34" t="s">
        <v>185</v>
      </c>
      <c r="E21" s="222">
        <f t="shared" si="0"/>
        <v>-190</v>
      </c>
      <c r="F21" s="222">
        <f t="shared" si="1"/>
        <v>0</v>
      </c>
      <c r="G21" s="222">
        <f t="shared" si="2"/>
        <v>0</v>
      </c>
      <c r="H21" s="222">
        <f t="shared" si="3"/>
        <v>0</v>
      </c>
      <c r="I21" s="222">
        <f t="shared" si="4"/>
        <v>0</v>
      </c>
      <c r="J21" s="16"/>
      <c r="K21" s="223">
        <f t="shared" ref="K21:BR21" si="13">SUM(K15:K20)</f>
        <v>-40</v>
      </c>
      <c r="L21" s="223">
        <f t="shared" si="13"/>
        <v>0</v>
      </c>
      <c r="M21" s="223">
        <f t="shared" si="13"/>
        <v>-50</v>
      </c>
      <c r="N21" s="223">
        <f t="shared" si="13"/>
        <v>0</v>
      </c>
      <c r="O21" s="223">
        <f t="shared" si="13"/>
        <v>0</v>
      </c>
      <c r="P21" s="223">
        <f t="shared" si="13"/>
        <v>-100</v>
      </c>
      <c r="Q21" s="223">
        <f t="shared" si="13"/>
        <v>0</v>
      </c>
      <c r="R21" s="223">
        <f t="shared" si="13"/>
        <v>0</v>
      </c>
      <c r="S21" s="223">
        <f t="shared" si="13"/>
        <v>0</v>
      </c>
      <c r="T21" s="223">
        <f t="shared" si="13"/>
        <v>0</v>
      </c>
      <c r="U21" s="223">
        <f t="shared" si="13"/>
        <v>0</v>
      </c>
      <c r="V21" s="222">
        <f t="shared" si="13"/>
        <v>0</v>
      </c>
      <c r="W21" s="223">
        <f t="shared" si="13"/>
        <v>0</v>
      </c>
      <c r="X21" s="223">
        <f t="shared" si="13"/>
        <v>0</v>
      </c>
      <c r="Y21" s="223">
        <f t="shared" si="13"/>
        <v>0</v>
      </c>
      <c r="Z21" s="223">
        <f t="shared" si="13"/>
        <v>0</v>
      </c>
      <c r="AA21" s="223">
        <f t="shared" si="13"/>
        <v>0</v>
      </c>
      <c r="AB21" s="223">
        <f t="shared" si="13"/>
        <v>0</v>
      </c>
      <c r="AC21" s="223">
        <f t="shared" si="13"/>
        <v>0</v>
      </c>
      <c r="AD21" s="223">
        <f t="shared" si="13"/>
        <v>0</v>
      </c>
      <c r="AE21" s="223">
        <f t="shared" si="13"/>
        <v>0</v>
      </c>
      <c r="AF21" s="223">
        <f t="shared" si="13"/>
        <v>0</v>
      </c>
      <c r="AG21" s="223">
        <f t="shared" si="13"/>
        <v>0</v>
      </c>
      <c r="AH21" s="222">
        <f t="shared" si="13"/>
        <v>0</v>
      </c>
      <c r="AI21" s="223">
        <f t="shared" si="13"/>
        <v>0</v>
      </c>
      <c r="AJ21" s="223">
        <f t="shared" si="13"/>
        <v>0</v>
      </c>
      <c r="AK21" s="223">
        <f t="shared" si="13"/>
        <v>0</v>
      </c>
      <c r="AL21" s="223">
        <f t="shared" si="13"/>
        <v>0</v>
      </c>
      <c r="AM21" s="223">
        <f t="shared" si="13"/>
        <v>0</v>
      </c>
      <c r="AN21" s="223">
        <f t="shared" si="13"/>
        <v>0</v>
      </c>
      <c r="AO21" s="223">
        <f t="shared" si="13"/>
        <v>0</v>
      </c>
      <c r="AP21" s="223">
        <f t="shared" si="13"/>
        <v>0</v>
      </c>
      <c r="AQ21" s="223">
        <f t="shared" si="13"/>
        <v>0</v>
      </c>
      <c r="AR21" s="223">
        <f t="shared" si="13"/>
        <v>0</v>
      </c>
      <c r="AS21" s="223">
        <f t="shared" si="13"/>
        <v>0</v>
      </c>
      <c r="AT21" s="222">
        <f t="shared" si="13"/>
        <v>0</v>
      </c>
      <c r="AU21" s="223">
        <f t="shared" si="13"/>
        <v>0</v>
      </c>
      <c r="AV21" s="223">
        <f t="shared" si="13"/>
        <v>0</v>
      </c>
      <c r="AW21" s="223">
        <f t="shared" si="13"/>
        <v>0</v>
      </c>
      <c r="AX21" s="223">
        <f t="shared" si="13"/>
        <v>0</v>
      </c>
      <c r="AY21" s="223">
        <f t="shared" si="13"/>
        <v>0</v>
      </c>
      <c r="AZ21" s="223">
        <f t="shared" si="13"/>
        <v>0</v>
      </c>
      <c r="BA21" s="223">
        <f t="shared" si="13"/>
        <v>0</v>
      </c>
      <c r="BB21" s="223">
        <f t="shared" si="13"/>
        <v>0</v>
      </c>
      <c r="BC21" s="223">
        <f t="shared" si="13"/>
        <v>0</v>
      </c>
      <c r="BD21" s="223">
        <f t="shared" si="13"/>
        <v>0</v>
      </c>
      <c r="BE21" s="223">
        <f t="shared" si="13"/>
        <v>0</v>
      </c>
      <c r="BF21" s="222">
        <f t="shared" si="13"/>
        <v>0</v>
      </c>
      <c r="BG21" s="223">
        <f t="shared" si="13"/>
        <v>0</v>
      </c>
      <c r="BH21" s="223">
        <f t="shared" si="13"/>
        <v>0</v>
      </c>
      <c r="BI21" s="223">
        <f t="shared" si="13"/>
        <v>0</v>
      </c>
      <c r="BJ21" s="223">
        <f t="shared" si="13"/>
        <v>0</v>
      </c>
      <c r="BK21" s="223">
        <f t="shared" si="13"/>
        <v>0</v>
      </c>
      <c r="BL21" s="223">
        <f t="shared" si="13"/>
        <v>0</v>
      </c>
      <c r="BM21" s="223">
        <f t="shared" si="13"/>
        <v>0</v>
      </c>
      <c r="BN21" s="223">
        <f t="shared" si="13"/>
        <v>0</v>
      </c>
      <c r="BO21" s="223">
        <f t="shared" si="13"/>
        <v>0</v>
      </c>
      <c r="BP21" s="223">
        <f t="shared" si="13"/>
        <v>0</v>
      </c>
      <c r="BQ21" s="223">
        <f t="shared" si="13"/>
        <v>0</v>
      </c>
      <c r="BR21" s="222">
        <f t="shared" si="13"/>
        <v>0</v>
      </c>
    </row>
    <row r="22" spans="1:70" s="14" customFormat="1" ht="13.2" x14ac:dyDescent="0.3">
      <c r="A22" s="13"/>
      <c r="B22" s="201"/>
      <c r="C22" s="218" t="s">
        <v>186</v>
      </c>
      <c r="E22" s="225">
        <f t="shared" si="0"/>
        <v>18</v>
      </c>
      <c r="F22" s="225">
        <f t="shared" si="1"/>
        <v>0</v>
      </c>
      <c r="G22" s="225">
        <f t="shared" si="2"/>
        <v>0</v>
      </c>
      <c r="H22" s="225">
        <f t="shared" si="3"/>
        <v>0</v>
      </c>
      <c r="I22" s="225">
        <f t="shared" si="4"/>
        <v>60</v>
      </c>
      <c r="J22" s="16"/>
      <c r="K22" s="226">
        <f>CapEx!K44</f>
        <v>0</v>
      </c>
      <c r="L22" s="226">
        <f>CapEx!L44</f>
        <v>0</v>
      </c>
      <c r="M22" s="226">
        <f>CapEx!M44</f>
        <v>0</v>
      </c>
      <c r="N22" s="226">
        <f>CapEx!N44</f>
        <v>0</v>
      </c>
      <c r="O22" s="226">
        <f>CapEx!O44</f>
        <v>0</v>
      </c>
      <c r="P22" s="226">
        <f>CapEx!P44</f>
        <v>0</v>
      </c>
      <c r="Q22" s="226">
        <f>CapEx!Q44</f>
        <v>0</v>
      </c>
      <c r="R22" s="226">
        <f>CapEx!R44</f>
        <v>0</v>
      </c>
      <c r="S22" s="226">
        <f>CapEx!S44</f>
        <v>0</v>
      </c>
      <c r="T22" s="226">
        <f>CapEx!T44</f>
        <v>0</v>
      </c>
      <c r="U22" s="226">
        <f>CapEx!U44</f>
        <v>0</v>
      </c>
      <c r="V22" s="225">
        <f>CapEx!V44</f>
        <v>18</v>
      </c>
      <c r="W22" s="226">
        <f>CapEx!W44</f>
        <v>0</v>
      </c>
      <c r="X22" s="226">
        <f>CapEx!X44</f>
        <v>0</v>
      </c>
      <c r="Y22" s="226">
        <f>CapEx!Y44</f>
        <v>0</v>
      </c>
      <c r="Z22" s="226">
        <f>CapEx!Z44</f>
        <v>0</v>
      </c>
      <c r="AA22" s="226">
        <f>CapEx!AA44</f>
        <v>0</v>
      </c>
      <c r="AB22" s="226">
        <f>CapEx!AB44</f>
        <v>0</v>
      </c>
      <c r="AC22" s="226">
        <f>CapEx!AC44</f>
        <v>0</v>
      </c>
      <c r="AD22" s="226">
        <f>CapEx!AD44</f>
        <v>0</v>
      </c>
      <c r="AE22" s="226">
        <f>CapEx!AE44</f>
        <v>0</v>
      </c>
      <c r="AF22" s="226">
        <f>CapEx!AF44</f>
        <v>0</v>
      </c>
      <c r="AG22" s="226">
        <f>CapEx!AG44</f>
        <v>0</v>
      </c>
      <c r="AH22" s="225">
        <f>CapEx!AH44</f>
        <v>0</v>
      </c>
      <c r="AI22" s="226">
        <f>CapEx!AI44</f>
        <v>0</v>
      </c>
      <c r="AJ22" s="226">
        <f>CapEx!AJ44</f>
        <v>0</v>
      </c>
      <c r="AK22" s="226">
        <f>CapEx!AK44</f>
        <v>0</v>
      </c>
      <c r="AL22" s="226">
        <f>CapEx!AL44</f>
        <v>0</v>
      </c>
      <c r="AM22" s="226">
        <f>CapEx!AM44</f>
        <v>0</v>
      </c>
      <c r="AN22" s="226">
        <f>CapEx!AN44</f>
        <v>0</v>
      </c>
      <c r="AO22" s="226">
        <f>CapEx!AO44</f>
        <v>0</v>
      </c>
      <c r="AP22" s="226">
        <f>CapEx!AP44</f>
        <v>0</v>
      </c>
      <c r="AQ22" s="226">
        <f>CapEx!AQ44</f>
        <v>0</v>
      </c>
      <c r="AR22" s="226">
        <f>CapEx!AR44</f>
        <v>0</v>
      </c>
      <c r="AS22" s="226">
        <f>CapEx!AS44</f>
        <v>0</v>
      </c>
      <c r="AT22" s="225">
        <f>CapEx!AT44</f>
        <v>0</v>
      </c>
      <c r="AU22" s="226">
        <f>CapEx!AU44</f>
        <v>0</v>
      </c>
      <c r="AV22" s="226">
        <f>CapEx!AV44</f>
        <v>0</v>
      </c>
      <c r="AW22" s="226">
        <f>CapEx!AW44</f>
        <v>0</v>
      </c>
      <c r="AX22" s="226">
        <f>CapEx!AX44</f>
        <v>0</v>
      </c>
      <c r="AY22" s="226">
        <f>CapEx!AY44</f>
        <v>0</v>
      </c>
      <c r="AZ22" s="226">
        <f>CapEx!AZ44</f>
        <v>0</v>
      </c>
      <c r="BA22" s="226">
        <f>CapEx!BA44</f>
        <v>0</v>
      </c>
      <c r="BB22" s="226">
        <f>CapEx!BB44</f>
        <v>0</v>
      </c>
      <c r="BC22" s="226">
        <f>CapEx!BC44</f>
        <v>0</v>
      </c>
      <c r="BD22" s="226">
        <f>CapEx!BD44</f>
        <v>0</v>
      </c>
      <c r="BE22" s="226">
        <f>CapEx!BE44</f>
        <v>0</v>
      </c>
      <c r="BF22" s="225">
        <f>CapEx!BF44</f>
        <v>0</v>
      </c>
      <c r="BG22" s="226">
        <f>CapEx!BG44</f>
        <v>0</v>
      </c>
      <c r="BH22" s="226">
        <f>CapEx!BH44</f>
        <v>0</v>
      </c>
      <c r="BI22" s="226">
        <f>CapEx!BI44</f>
        <v>0</v>
      </c>
      <c r="BJ22" s="226">
        <f>CapEx!BJ44</f>
        <v>0</v>
      </c>
      <c r="BK22" s="226">
        <f>CapEx!BK44</f>
        <v>0</v>
      </c>
      <c r="BL22" s="226">
        <f>CapEx!BL44</f>
        <v>0</v>
      </c>
      <c r="BM22" s="226">
        <f>CapEx!BM44</f>
        <v>15</v>
      </c>
      <c r="BN22" s="226">
        <f>CapEx!BN44</f>
        <v>0</v>
      </c>
      <c r="BO22" s="226">
        <f>CapEx!BO44</f>
        <v>0</v>
      </c>
      <c r="BP22" s="226">
        <f>CapEx!BP44</f>
        <v>45</v>
      </c>
      <c r="BQ22" s="226">
        <f>CapEx!BQ44</f>
        <v>0</v>
      </c>
      <c r="BR22" s="225">
        <f>CapEx!BR44</f>
        <v>0</v>
      </c>
    </row>
    <row r="23" spans="1:70" s="175" customFormat="1" ht="13.2" x14ac:dyDescent="0.3">
      <c r="A23" s="13"/>
      <c r="C23" s="221" t="s">
        <v>75</v>
      </c>
      <c r="E23" s="222">
        <f t="shared" si="0"/>
        <v>-172</v>
      </c>
      <c r="F23" s="222">
        <f t="shared" si="1"/>
        <v>0</v>
      </c>
      <c r="G23" s="222">
        <f t="shared" si="2"/>
        <v>0</v>
      </c>
      <c r="H23" s="222">
        <f t="shared" si="3"/>
        <v>0</v>
      </c>
      <c r="I23" s="222">
        <f t="shared" si="4"/>
        <v>60</v>
      </c>
      <c r="J23" s="199"/>
      <c r="K23" s="212">
        <f>SUM(K21:K22)</f>
        <v>-40</v>
      </c>
      <c r="L23" s="212">
        <f t="shared" ref="L23:BR23" si="14">SUM(L21:L22)</f>
        <v>0</v>
      </c>
      <c r="M23" s="212">
        <f t="shared" si="14"/>
        <v>-50</v>
      </c>
      <c r="N23" s="212">
        <f t="shared" si="14"/>
        <v>0</v>
      </c>
      <c r="O23" s="212">
        <f t="shared" si="14"/>
        <v>0</v>
      </c>
      <c r="P23" s="212">
        <f>SUM(P21:P22)</f>
        <v>-100</v>
      </c>
      <c r="Q23" s="212">
        <f t="shared" si="14"/>
        <v>0</v>
      </c>
      <c r="R23" s="212">
        <f t="shared" si="14"/>
        <v>0</v>
      </c>
      <c r="S23" s="212">
        <f t="shared" si="14"/>
        <v>0</v>
      </c>
      <c r="T23" s="212">
        <f t="shared" si="14"/>
        <v>0</v>
      </c>
      <c r="U23" s="212">
        <f t="shared" si="14"/>
        <v>0</v>
      </c>
      <c r="V23" s="222">
        <f t="shared" si="14"/>
        <v>18</v>
      </c>
      <c r="W23" s="212">
        <f t="shared" si="14"/>
        <v>0</v>
      </c>
      <c r="X23" s="212">
        <f t="shared" si="14"/>
        <v>0</v>
      </c>
      <c r="Y23" s="212">
        <f t="shared" si="14"/>
        <v>0</v>
      </c>
      <c r="Z23" s="212">
        <f t="shared" si="14"/>
        <v>0</v>
      </c>
      <c r="AA23" s="212">
        <f t="shared" si="14"/>
        <v>0</v>
      </c>
      <c r="AB23" s="212">
        <f t="shared" si="14"/>
        <v>0</v>
      </c>
      <c r="AC23" s="212">
        <f t="shared" si="14"/>
        <v>0</v>
      </c>
      <c r="AD23" s="212">
        <f t="shared" si="14"/>
        <v>0</v>
      </c>
      <c r="AE23" s="212">
        <f t="shared" si="14"/>
        <v>0</v>
      </c>
      <c r="AF23" s="212">
        <f t="shared" si="14"/>
        <v>0</v>
      </c>
      <c r="AG23" s="212">
        <f t="shared" si="14"/>
        <v>0</v>
      </c>
      <c r="AH23" s="222">
        <f t="shared" si="14"/>
        <v>0</v>
      </c>
      <c r="AI23" s="212">
        <f t="shared" si="14"/>
        <v>0</v>
      </c>
      <c r="AJ23" s="212">
        <f t="shared" si="14"/>
        <v>0</v>
      </c>
      <c r="AK23" s="212">
        <f t="shared" si="14"/>
        <v>0</v>
      </c>
      <c r="AL23" s="212">
        <f t="shared" si="14"/>
        <v>0</v>
      </c>
      <c r="AM23" s="212">
        <f t="shared" si="14"/>
        <v>0</v>
      </c>
      <c r="AN23" s="212">
        <f t="shared" si="14"/>
        <v>0</v>
      </c>
      <c r="AO23" s="212">
        <f t="shared" si="14"/>
        <v>0</v>
      </c>
      <c r="AP23" s="212">
        <f t="shared" si="14"/>
        <v>0</v>
      </c>
      <c r="AQ23" s="212">
        <f t="shared" si="14"/>
        <v>0</v>
      </c>
      <c r="AR23" s="212">
        <f t="shared" si="14"/>
        <v>0</v>
      </c>
      <c r="AS23" s="212">
        <f t="shared" si="14"/>
        <v>0</v>
      </c>
      <c r="AT23" s="222">
        <f t="shared" si="14"/>
        <v>0</v>
      </c>
      <c r="AU23" s="212">
        <f t="shared" si="14"/>
        <v>0</v>
      </c>
      <c r="AV23" s="212">
        <f t="shared" si="14"/>
        <v>0</v>
      </c>
      <c r="AW23" s="212">
        <f t="shared" si="14"/>
        <v>0</v>
      </c>
      <c r="AX23" s="212">
        <f t="shared" si="14"/>
        <v>0</v>
      </c>
      <c r="AY23" s="212">
        <f t="shared" si="14"/>
        <v>0</v>
      </c>
      <c r="AZ23" s="212">
        <f t="shared" si="14"/>
        <v>0</v>
      </c>
      <c r="BA23" s="212">
        <f t="shared" si="14"/>
        <v>0</v>
      </c>
      <c r="BB23" s="212">
        <f t="shared" si="14"/>
        <v>0</v>
      </c>
      <c r="BC23" s="212">
        <f t="shared" si="14"/>
        <v>0</v>
      </c>
      <c r="BD23" s="212">
        <f t="shared" si="14"/>
        <v>0</v>
      </c>
      <c r="BE23" s="212">
        <f t="shared" si="14"/>
        <v>0</v>
      </c>
      <c r="BF23" s="222">
        <f t="shared" si="14"/>
        <v>0</v>
      </c>
      <c r="BG23" s="212">
        <f t="shared" si="14"/>
        <v>0</v>
      </c>
      <c r="BH23" s="212">
        <f t="shared" si="14"/>
        <v>0</v>
      </c>
      <c r="BI23" s="212">
        <f t="shared" si="14"/>
        <v>0</v>
      </c>
      <c r="BJ23" s="212">
        <f t="shared" si="14"/>
        <v>0</v>
      </c>
      <c r="BK23" s="212">
        <f t="shared" si="14"/>
        <v>0</v>
      </c>
      <c r="BL23" s="212">
        <f t="shared" si="14"/>
        <v>0</v>
      </c>
      <c r="BM23" s="212">
        <f t="shared" si="14"/>
        <v>15</v>
      </c>
      <c r="BN23" s="212">
        <f t="shared" si="14"/>
        <v>0</v>
      </c>
      <c r="BO23" s="212">
        <f t="shared" si="14"/>
        <v>0</v>
      </c>
      <c r="BP23" s="212">
        <f t="shared" si="14"/>
        <v>45</v>
      </c>
      <c r="BQ23" s="212">
        <f t="shared" si="14"/>
        <v>0</v>
      </c>
      <c r="BR23" s="222">
        <f t="shared" si="14"/>
        <v>0</v>
      </c>
    </row>
    <row r="24" spans="1:70" s="14" customFormat="1" ht="13.2" x14ac:dyDescent="0.3">
      <c r="A24" s="13"/>
      <c r="B24" s="201"/>
      <c r="C24" s="185" t="str">
        <f>Balance!$C$23</f>
        <v>Short-term debt</v>
      </c>
      <c r="E24" s="211">
        <f t="shared" si="0"/>
        <v>100</v>
      </c>
      <c r="F24" s="211">
        <f t="shared" si="1"/>
        <v>20</v>
      </c>
      <c r="G24" s="211">
        <f t="shared" si="2"/>
        <v>0</v>
      </c>
      <c r="H24" s="211">
        <f t="shared" si="3"/>
        <v>0</v>
      </c>
      <c r="I24" s="211">
        <f t="shared" si="4"/>
        <v>0</v>
      </c>
      <c r="J24" s="16"/>
      <c r="K24" s="212">
        <f>Balance!K23</f>
        <v>100</v>
      </c>
      <c r="L24" s="213">
        <f>Balance!L23-Balance!K23</f>
        <v>0</v>
      </c>
      <c r="M24" s="213">
        <f>Balance!M23-Balance!L23</f>
        <v>0</v>
      </c>
      <c r="N24" s="213">
        <f>Balance!N23-Balance!M23</f>
        <v>0</v>
      </c>
      <c r="O24" s="213">
        <f>Balance!O23-Balance!N23</f>
        <v>0</v>
      </c>
      <c r="P24" s="213">
        <f>Balance!P23-Balance!O23</f>
        <v>0</v>
      </c>
      <c r="Q24" s="213">
        <f>Balance!Q23-Balance!P23</f>
        <v>0</v>
      </c>
      <c r="R24" s="213">
        <f>Balance!R23-Balance!Q23</f>
        <v>0</v>
      </c>
      <c r="S24" s="213">
        <f>Balance!S23-Balance!R23</f>
        <v>0</v>
      </c>
      <c r="T24" s="213">
        <f>Balance!T23-Balance!S23</f>
        <v>0</v>
      </c>
      <c r="U24" s="213">
        <f>Balance!U23-Balance!T23</f>
        <v>0</v>
      </c>
      <c r="V24" s="211">
        <f>Balance!V23-Balance!U23</f>
        <v>0</v>
      </c>
      <c r="W24" s="212">
        <f>Balance!W23-Balance!V23</f>
        <v>20</v>
      </c>
      <c r="X24" s="213">
        <f>Balance!X23-Balance!W23</f>
        <v>0</v>
      </c>
      <c r="Y24" s="213">
        <f>Balance!Y23-Balance!X23</f>
        <v>0</v>
      </c>
      <c r="Z24" s="213">
        <f>Balance!Z23-Balance!Y23</f>
        <v>0</v>
      </c>
      <c r="AA24" s="213">
        <f>Balance!AA23-Balance!Z23</f>
        <v>0</v>
      </c>
      <c r="AB24" s="213">
        <f>Balance!AB23-Balance!AA23</f>
        <v>0</v>
      </c>
      <c r="AC24" s="213">
        <f>Balance!AC23-Balance!AB23</f>
        <v>0</v>
      </c>
      <c r="AD24" s="213">
        <f>Balance!AD23-Balance!AC23</f>
        <v>0</v>
      </c>
      <c r="AE24" s="213">
        <f>Balance!AE23-Balance!AD23</f>
        <v>0</v>
      </c>
      <c r="AF24" s="213">
        <f>Balance!AF23-Balance!AE23</f>
        <v>0</v>
      </c>
      <c r="AG24" s="213">
        <f>Balance!AG23-Balance!AF23</f>
        <v>0</v>
      </c>
      <c r="AH24" s="211">
        <f>Balance!AH23-Balance!AG23</f>
        <v>0</v>
      </c>
      <c r="AI24" s="212">
        <f>Balance!AI23-Balance!AH23</f>
        <v>0</v>
      </c>
      <c r="AJ24" s="213">
        <f>Balance!AJ23-Balance!AI23</f>
        <v>0</v>
      </c>
      <c r="AK24" s="213">
        <f>Balance!AK23-Balance!AJ23</f>
        <v>0</v>
      </c>
      <c r="AL24" s="213">
        <f>Balance!AL23-Balance!AK23</f>
        <v>0</v>
      </c>
      <c r="AM24" s="213">
        <f>Balance!AM23-Balance!AL23</f>
        <v>0</v>
      </c>
      <c r="AN24" s="213">
        <f>Balance!AN23-Balance!AM23</f>
        <v>0</v>
      </c>
      <c r="AO24" s="213">
        <f>Balance!AO23-Balance!AN23</f>
        <v>0</v>
      </c>
      <c r="AP24" s="213">
        <f>Balance!AP23-Balance!AO23</f>
        <v>0</v>
      </c>
      <c r="AQ24" s="213">
        <f>Balance!AQ23-Balance!AP23</f>
        <v>0</v>
      </c>
      <c r="AR24" s="213">
        <f>Balance!AR23-Balance!AQ23</f>
        <v>0</v>
      </c>
      <c r="AS24" s="213">
        <f>Balance!AS23-Balance!AR23</f>
        <v>0</v>
      </c>
      <c r="AT24" s="211">
        <f>Balance!AT23-Balance!AS23</f>
        <v>0</v>
      </c>
      <c r="AU24" s="212">
        <f>Balance!AU23-Balance!AT23</f>
        <v>0</v>
      </c>
      <c r="AV24" s="213">
        <f>Balance!AV23-Balance!AU23</f>
        <v>0</v>
      </c>
      <c r="AW24" s="213">
        <f>Balance!AW23-Balance!AV23</f>
        <v>0</v>
      </c>
      <c r="AX24" s="213">
        <f>Balance!AX23-Balance!AW23</f>
        <v>0</v>
      </c>
      <c r="AY24" s="213">
        <f>Balance!AY23-Balance!AX23</f>
        <v>0</v>
      </c>
      <c r="AZ24" s="213">
        <f>Balance!AZ23-Balance!AY23</f>
        <v>0</v>
      </c>
      <c r="BA24" s="213">
        <f>Balance!BA23-Balance!AZ23</f>
        <v>0</v>
      </c>
      <c r="BB24" s="213">
        <f>Balance!BB23-Balance!BA23</f>
        <v>0</v>
      </c>
      <c r="BC24" s="213">
        <f>Balance!BC23-Balance!BB23</f>
        <v>0</v>
      </c>
      <c r="BD24" s="213">
        <f>Balance!BD23-Balance!BC23</f>
        <v>0</v>
      </c>
      <c r="BE24" s="213">
        <f>Balance!BE23-Balance!BD23</f>
        <v>0</v>
      </c>
      <c r="BF24" s="211">
        <f>Balance!BF23-Balance!BE23</f>
        <v>0</v>
      </c>
      <c r="BG24" s="212">
        <f>Balance!BG23-Balance!BF23</f>
        <v>0</v>
      </c>
      <c r="BH24" s="213">
        <f>Balance!BH23-Balance!BG23</f>
        <v>0</v>
      </c>
      <c r="BI24" s="213">
        <f>Balance!BI23-Balance!BH23</f>
        <v>0</v>
      </c>
      <c r="BJ24" s="213">
        <f>Balance!BJ23-Balance!BI23</f>
        <v>0</v>
      </c>
      <c r="BK24" s="213">
        <f>Balance!BK23-Balance!BJ23</f>
        <v>0</v>
      </c>
      <c r="BL24" s="213">
        <f>Balance!BL23-Balance!BK23</f>
        <v>0</v>
      </c>
      <c r="BM24" s="213">
        <f>Balance!BM23-Balance!BL23</f>
        <v>0</v>
      </c>
      <c r="BN24" s="213">
        <f>Balance!BN23-Balance!BM23</f>
        <v>0</v>
      </c>
      <c r="BO24" s="213">
        <f>Balance!BO23-Balance!BN23</f>
        <v>0</v>
      </c>
      <c r="BP24" s="213">
        <f>Balance!BP23-Balance!BO23</f>
        <v>0</v>
      </c>
      <c r="BQ24" s="213">
        <f>Balance!BQ23-Balance!BP23</f>
        <v>0</v>
      </c>
      <c r="BR24" s="211">
        <f>Balance!BR23-Balance!BQ23</f>
        <v>0</v>
      </c>
    </row>
    <row r="25" spans="1:70" s="14" customFormat="1" ht="13.2" x14ac:dyDescent="0.3">
      <c r="A25" s="40"/>
      <c r="B25" s="201"/>
      <c r="C25" s="185" t="str">
        <f>Balance!$C$25</f>
        <v>Long-term debt</v>
      </c>
      <c r="E25" s="211">
        <f t="shared" si="0"/>
        <v>40</v>
      </c>
      <c r="F25" s="211">
        <f t="shared" si="1"/>
        <v>30</v>
      </c>
      <c r="G25" s="211">
        <f t="shared" si="2"/>
        <v>0</v>
      </c>
      <c r="H25" s="211">
        <f t="shared" si="3"/>
        <v>0</v>
      </c>
      <c r="I25" s="211">
        <f t="shared" si="4"/>
        <v>0</v>
      </c>
      <c r="J25" s="16"/>
      <c r="K25" s="212">
        <f>Balance!K25</f>
        <v>15</v>
      </c>
      <c r="L25" s="213">
        <f>Balance!L25-Balance!K25</f>
        <v>0</v>
      </c>
      <c r="M25" s="213">
        <f>Balance!M25-Balance!L25</f>
        <v>0</v>
      </c>
      <c r="N25" s="213">
        <f>Balance!N25-Balance!M25</f>
        <v>0</v>
      </c>
      <c r="O25" s="213">
        <f>Balance!O25-Balance!N25</f>
        <v>0</v>
      </c>
      <c r="P25" s="213">
        <f>Balance!P25-Balance!O25</f>
        <v>25</v>
      </c>
      <c r="Q25" s="213">
        <f>Balance!Q25-Balance!P25</f>
        <v>0</v>
      </c>
      <c r="R25" s="213">
        <f>Balance!R25-Balance!Q25</f>
        <v>0</v>
      </c>
      <c r="S25" s="213">
        <f>Balance!S25-Balance!R25</f>
        <v>0</v>
      </c>
      <c r="T25" s="213">
        <f>Balance!T25-Balance!S25</f>
        <v>0</v>
      </c>
      <c r="U25" s="213">
        <f>Balance!U25-Balance!T25</f>
        <v>0</v>
      </c>
      <c r="V25" s="211">
        <f>Balance!V25-Balance!U25</f>
        <v>0</v>
      </c>
      <c r="W25" s="212">
        <f>Balance!W25-Balance!V25</f>
        <v>30</v>
      </c>
      <c r="X25" s="213">
        <f>Balance!X25-Balance!W25</f>
        <v>0</v>
      </c>
      <c r="Y25" s="213">
        <f>Balance!Y25-Balance!X25</f>
        <v>0</v>
      </c>
      <c r="Z25" s="213">
        <f>Balance!Z25-Balance!Y25</f>
        <v>0</v>
      </c>
      <c r="AA25" s="213">
        <f>Balance!AA25-Balance!Z25</f>
        <v>0</v>
      </c>
      <c r="AB25" s="213">
        <f>Balance!AB25-Balance!AA25</f>
        <v>0</v>
      </c>
      <c r="AC25" s="213">
        <f>Balance!AC25-Balance!AB25</f>
        <v>0</v>
      </c>
      <c r="AD25" s="213">
        <f>Balance!AD25-Balance!AC25</f>
        <v>0</v>
      </c>
      <c r="AE25" s="213">
        <f>Balance!AE25-Balance!AD25</f>
        <v>0</v>
      </c>
      <c r="AF25" s="213">
        <f>Balance!AF25-Balance!AE25</f>
        <v>0</v>
      </c>
      <c r="AG25" s="213">
        <f>Balance!AG25-Balance!AF25</f>
        <v>0</v>
      </c>
      <c r="AH25" s="211">
        <f>Balance!AH25-Balance!AG25</f>
        <v>0</v>
      </c>
      <c r="AI25" s="212">
        <f>Balance!AI25-Balance!AH25</f>
        <v>0</v>
      </c>
      <c r="AJ25" s="213">
        <f>Balance!AJ25-Balance!AI25</f>
        <v>0</v>
      </c>
      <c r="AK25" s="213">
        <f>Balance!AK25-Balance!AJ25</f>
        <v>0</v>
      </c>
      <c r="AL25" s="213">
        <f>Balance!AL25-Balance!AK25</f>
        <v>0</v>
      </c>
      <c r="AM25" s="213">
        <f>Balance!AM25-Balance!AL25</f>
        <v>0</v>
      </c>
      <c r="AN25" s="213">
        <f>Balance!AN25-Balance!AM25</f>
        <v>0</v>
      </c>
      <c r="AO25" s="213">
        <f>Balance!AO25-Balance!AN25</f>
        <v>0</v>
      </c>
      <c r="AP25" s="213">
        <f>Balance!AP25-Balance!AO25</f>
        <v>0</v>
      </c>
      <c r="AQ25" s="213">
        <f>Balance!AQ25-Balance!AP25</f>
        <v>0</v>
      </c>
      <c r="AR25" s="213">
        <f>Balance!AR25-Balance!AQ25</f>
        <v>0</v>
      </c>
      <c r="AS25" s="213">
        <f>Balance!AS25-Balance!AR25</f>
        <v>0</v>
      </c>
      <c r="AT25" s="211">
        <f>Balance!AT25-Balance!AS25</f>
        <v>0</v>
      </c>
      <c r="AU25" s="212">
        <f>Balance!AU25-Balance!AT25</f>
        <v>0</v>
      </c>
      <c r="AV25" s="213">
        <f>Balance!AV25-Balance!AU25</f>
        <v>0</v>
      </c>
      <c r="AW25" s="213">
        <f>Balance!AW25-Balance!AV25</f>
        <v>0</v>
      </c>
      <c r="AX25" s="213">
        <f>Balance!AX25-Balance!AW25</f>
        <v>0</v>
      </c>
      <c r="AY25" s="213">
        <f>Balance!AY25-Balance!AX25</f>
        <v>0</v>
      </c>
      <c r="AZ25" s="213">
        <f>Balance!AZ25-Balance!AY25</f>
        <v>0</v>
      </c>
      <c r="BA25" s="213">
        <f>Balance!BA25-Balance!AZ25</f>
        <v>0</v>
      </c>
      <c r="BB25" s="213">
        <f>Balance!BB25-Balance!BA25</f>
        <v>0</v>
      </c>
      <c r="BC25" s="213">
        <f>Balance!BC25-Balance!BB25</f>
        <v>0</v>
      </c>
      <c r="BD25" s="213">
        <f>Balance!BD25-Balance!BC25</f>
        <v>0</v>
      </c>
      <c r="BE25" s="213">
        <f>Balance!BE25-Balance!BD25</f>
        <v>0</v>
      </c>
      <c r="BF25" s="211">
        <f>Balance!BF25-Balance!BE25</f>
        <v>0</v>
      </c>
      <c r="BG25" s="212">
        <f>Balance!BG25-Balance!BF25</f>
        <v>0</v>
      </c>
      <c r="BH25" s="213">
        <f>Balance!BH25-Balance!BG25</f>
        <v>0</v>
      </c>
      <c r="BI25" s="213">
        <f>Balance!BI25-Balance!BH25</f>
        <v>0</v>
      </c>
      <c r="BJ25" s="213">
        <f>Balance!BJ25-Balance!BI25</f>
        <v>0</v>
      </c>
      <c r="BK25" s="213">
        <f>Balance!BK25-Balance!BJ25</f>
        <v>0</v>
      </c>
      <c r="BL25" s="213">
        <f>Balance!BL25-Balance!BK25</f>
        <v>0</v>
      </c>
      <c r="BM25" s="213">
        <f>Balance!BM25-Balance!BL25</f>
        <v>0</v>
      </c>
      <c r="BN25" s="213">
        <f>Balance!BN25-Balance!BM25</f>
        <v>0</v>
      </c>
      <c r="BO25" s="213">
        <f>Balance!BO25-Balance!BN25</f>
        <v>0</v>
      </c>
      <c r="BP25" s="213">
        <f>Balance!BP25-Balance!BO25</f>
        <v>0</v>
      </c>
      <c r="BQ25" s="213">
        <f>Balance!BQ25-Balance!BP25</f>
        <v>0</v>
      </c>
      <c r="BR25" s="211">
        <f>Balance!BR25-Balance!BQ25</f>
        <v>0</v>
      </c>
    </row>
    <row r="26" spans="1:70" s="14" customFormat="1" ht="13.2" x14ac:dyDescent="0.3">
      <c r="A26" s="40"/>
      <c r="B26" s="201"/>
      <c r="C26" s="178" t="str">
        <f>Balance!$C$22</f>
        <v>Line of credit</v>
      </c>
      <c r="E26" s="215">
        <f t="shared" ca="1" si="0"/>
        <v>161.4895914706762</v>
      </c>
      <c r="F26" s="215">
        <f t="shared" ca="1" si="1"/>
        <v>-161.4895914706762</v>
      </c>
      <c r="G26" s="215">
        <f t="shared" ca="1" si="2"/>
        <v>0</v>
      </c>
      <c r="H26" s="215">
        <f t="shared" ca="1" si="3"/>
        <v>0</v>
      </c>
      <c r="I26" s="215">
        <f t="shared" ca="1" si="4"/>
        <v>0</v>
      </c>
      <c r="J26" s="16"/>
      <c r="K26" s="216">
        <f ca="1">Balance!K22</f>
        <v>253.96897399875942</v>
      </c>
      <c r="L26" s="216">
        <f ca="1">Balance!L22-Balance!K22</f>
        <v>33.92365113180486</v>
      </c>
      <c r="M26" s="216">
        <f ca="1">Balance!M22-Balance!L22</f>
        <v>38.742215721729451</v>
      </c>
      <c r="N26" s="216">
        <f ca="1">Balance!N22-Balance!M22</f>
        <v>-17.232839251377186</v>
      </c>
      <c r="O26" s="216">
        <f ca="1">Balance!O22-Balance!N22</f>
        <v>-17.85192502828636</v>
      </c>
      <c r="P26" s="216">
        <f ca="1">Balance!P22-Balance!O22</f>
        <v>37.175714289560347</v>
      </c>
      <c r="Q26" s="216">
        <f ca="1">Balance!Q22-Balance!P22</f>
        <v>-21.619178347131708</v>
      </c>
      <c r="R26" s="216">
        <f ca="1">Balance!R22-Balance!Q22</f>
        <v>-22.271044425203741</v>
      </c>
      <c r="S26" s="216">
        <f ca="1">Balance!S22-Balance!R22</f>
        <v>-22.930365149612612</v>
      </c>
      <c r="T26" s="216">
        <f ca="1">Balance!T22-Balance!S22</f>
        <v>-23.597209963994089</v>
      </c>
      <c r="U26" s="216">
        <f ca="1">Balance!U22-Balance!T22</f>
        <v>-22.671648903911148</v>
      </c>
      <c r="V26" s="215">
        <f ca="1">Balance!V22-Balance!U22</f>
        <v>-54.146752601661035</v>
      </c>
      <c r="W26" s="216">
        <f ca="1">Balance!W22-Balance!V22</f>
        <v>-122.20970326306059</v>
      </c>
      <c r="X26" s="216">
        <f ca="1">Balance!X22-Balance!W22</f>
        <v>-21.257534137402899</v>
      </c>
      <c r="Y26" s="216">
        <f ca="1">Balance!Y22-Balance!X22</f>
        <v>-18.022354070212714</v>
      </c>
      <c r="Z26" s="216">
        <f ca="1">Balance!Z22-Balance!Y22</f>
        <v>0</v>
      </c>
      <c r="AA26" s="216">
        <f ca="1">Balance!AA22-Balance!Z22</f>
        <v>0</v>
      </c>
      <c r="AB26" s="216">
        <f ca="1">Balance!AB22-Balance!AA22</f>
        <v>0</v>
      </c>
      <c r="AC26" s="216">
        <f ca="1">Balance!AC22-Balance!AB22</f>
        <v>0</v>
      </c>
      <c r="AD26" s="216">
        <f ca="1">Balance!AD22-Balance!AC22</f>
        <v>0</v>
      </c>
      <c r="AE26" s="216">
        <f ca="1">Balance!AE22-Balance!AD22</f>
        <v>0</v>
      </c>
      <c r="AF26" s="216">
        <f ca="1">Balance!AF22-Balance!AE22</f>
        <v>0</v>
      </c>
      <c r="AG26" s="216">
        <f ca="1">Balance!AG22-Balance!AF22</f>
        <v>0</v>
      </c>
      <c r="AH26" s="215">
        <f ca="1">Balance!AH22-Balance!AG22</f>
        <v>0</v>
      </c>
      <c r="AI26" s="216">
        <f ca="1">Balance!AI22-Balance!AH22</f>
        <v>0</v>
      </c>
      <c r="AJ26" s="216">
        <f ca="1">Balance!AJ22-Balance!AI22</f>
        <v>0</v>
      </c>
      <c r="AK26" s="216">
        <f ca="1">Balance!AK22-Balance!AJ22</f>
        <v>0</v>
      </c>
      <c r="AL26" s="216">
        <f ca="1">Balance!AL22-Balance!AK22</f>
        <v>0</v>
      </c>
      <c r="AM26" s="216">
        <f ca="1">Balance!AM22-Balance!AL22</f>
        <v>0</v>
      </c>
      <c r="AN26" s="216">
        <f ca="1">Balance!AN22-Balance!AM22</f>
        <v>0</v>
      </c>
      <c r="AO26" s="216">
        <f ca="1">Balance!AO22-Balance!AN22</f>
        <v>0</v>
      </c>
      <c r="AP26" s="216">
        <f ca="1">Balance!AP22-Balance!AO22</f>
        <v>0</v>
      </c>
      <c r="AQ26" s="216">
        <f ca="1">Balance!AQ22-Balance!AP22</f>
        <v>0</v>
      </c>
      <c r="AR26" s="216">
        <f ca="1">Balance!AR22-Balance!AQ22</f>
        <v>0</v>
      </c>
      <c r="AS26" s="216">
        <f ca="1">Balance!AS22-Balance!AR22</f>
        <v>0</v>
      </c>
      <c r="AT26" s="215">
        <f ca="1">Balance!AT22-Balance!AS22</f>
        <v>0</v>
      </c>
      <c r="AU26" s="216">
        <f ca="1">Balance!AU22-Balance!AT22</f>
        <v>0</v>
      </c>
      <c r="AV26" s="216">
        <f ca="1">Balance!AV22-Balance!AU22</f>
        <v>0</v>
      </c>
      <c r="AW26" s="216">
        <f ca="1">Balance!AW22-Balance!AV22</f>
        <v>0</v>
      </c>
      <c r="AX26" s="216">
        <f ca="1">Balance!AX22-Balance!AW22</f>
        <v>0</v>
      </c>
      <c r="AY26" s="216">
        <f ca="1">Balance!AY22-Balance!AX22</f>
        <v>0</v>
      </c>
      <c r="AZ26" s="216">
        <f ca="1">Balance!AZ22-Balance!AY22</f>
        <v>0</v>
      </c>
      <c r="BA26" s="216">
        <f ca="1">Balance!BA22-Balance!AZ22</f>
        <v>0</v>
      </c>
      <c r="BB26" s="216">
        <f ca="1">Balance!BB22-Balance!BA22</f>
        <v>0</v>
      </c>
      <c r="BC26" s="216">
        <f ca="1">Balance!BC22-Balance!BB22</f>
        <v>0</v>
      </c>
      <c r="BD26" s="216">
        <f ca="1">Balance!BD22-Balance!BC22</f>
        <v>0</v>
      </c>
      <c r="BE26" s="216">
        <f ca="1">Balance!BE22-Balance!BD22</f>
        <v>0</v>
      </c>
      <c r="BF26" s="215">
        <f ca="1">Balance!BF22-Balance!BE22</f>
        <v>0</v>
      </c>
      <c r="BG26" s="216">
        <f ca="1">Balance!BG22-Balance!BF22</f>
        <v>0</v>
      </c>
      <c r="BH26" s="216">
        <f ca="1">Balance!BH22-Balance!BG22</f>
        <v>0</v>
      </c>
      <c r="BI26" s="216">
        <f ca="1">Balance!BI22-Balance!BH22</f>
        <v>0</v>
      </c>
      <c r="BJ26" s="216">
        <f ca="1">Balance!BJ22-Balance!BI22</f>
        <v>0</v>
      </c>
      <c r="BK26" s="216">
        <f ca="1">Balance!BK22-Balance!BJ22</f>
        <v>0</v>
      </c>
      <c r="BL26" s="216">
        <f ca="1">Balance!BL22-Balance!BK22</f>
        <v>0</v>
      </c>
      <c r="BM26" s="216">
        <f ca="1">Balance!BM22-Balance!BL22</f>
        <v>0</v>
      </c>
      <c r="BN26" s="216">
        <f ca="1">Balance!BN22-Balance!BM22</f>
        <v>0</v>
      </c>
      <c r="BO26" s="216">
        <f ca="1">Balance!BO22-Balance!BN22</f>
        <v>0</v>
      </c>
      <c r="BP26" s="216">
        <f ca="1">Balance!BP22-Balance!BO22</f>
        <v>0</v>
      </c>
      <c r="BQ26" s="216">
        <f ca="1">Balance!BQ22-Balance!BP22</f>
        <v>0</v>
      </c>
      <c r="BR26" s="215">
        <f ca="1">Balance!BR22-Balance!BQ22</f>
        <v>0</v>
      </c>
    </row>
    <row r="27" spans="1:70" s="14" customFormat="1" ht="13.2" x14ac:dyDescent="0.3">
      <c r="A27" s="128"/>
      <c r="B27" s="227"/>
      <c r="C27" s="14" t="s">
        <v>187</v>
      </c>
      <c r="E27" s="222">
        <f t="shared" ca="1" si="0"/>
        <v>301.4895914706762</v>
      </c>
      <c r="F27" s="222">
        <f t="shared" ca="1" si="1"/>
        <v>-111.4895914706762</v>
      </c>
      <c r="G27" s="222">
        <f t="shared" ca="1" si="2"/>
        <v>0</v>
      </c>
      <c r="H27" s="222">
        <f t="shared" ca="1" si="3"/>
        <v>0</v>
      </c>
      <c r="I27" s="222">
        <f t="shared" ca="1" si="4"/>
        <v>0</v>
      </c>
      <c r="J27" s="16"/>
      <c r="K27" s="212">
        <f t="shared" ref="K27:BR27" ca="1" si="15">SUM(K24:K26)</f>
        <v>368.96897399875945</v>
      </c>
      <c r="L27" s="212">
        <f t="shared" ca="1" si="15"/>
        <v>33.92365113180486</v>
      </c>
      <c r="M27" s="212">
        <f t="shared" ca="1" si="15"/>
        <v>38.742215721729451</v>
      </c>
      <c r="N27" s="212">
        <f t="shared" ca="1" si="15"/>
        <v>-17.232839251377186</v>
      </c>
      <c r="O27" s="212">
        <f t="shared" ca="1" si="15"/>
        <v>-17.85192502828636</v>
      </c>
      <c r="P27" s="212">
        <f t="shared" ca="1" si="15"/>
        <v>62.175714289560347</v>
      </c>
      <c r="Q27" s="212">
        <f t="shared" ca="1" si="15"/>
        <v>-21.619178347131708</v>
      </c>
      <c r="R27" s="212">
        <f t="shared" ca="1" si="15"/>
        <v>-22.271044425203741</v>
      </c>
      <c r="S27" s="212">
        <f t="shared" ca="1" si="15"/>
        <v>-22.930365149612612</v>
      </c>
      <c r="T27" s="212">
        <f t="shared" ca="1" si="15"/>
        <v>-23.597209963994089</v>
      </c>
      <c r="U27" s="212">
        <f t="shared" ca="1" si="15"/>
        <v>-22.671648903911148</v>
      </c>
      <c r="V27" s="222">
        <f t="shared" ca="1" si="15"/>
        <v>-54.146752601661035</v>
      </c>
      <c r="W27" s="212">
        <f t="shared" ca="1" si="15"/>
        <v>-72.20970326306059</v>
      </c>
      <c r="X27" s="212">
        <f t="shared" ca="1" si="15"/>
        <v>-21.257534137402899</v>
      </c>
      <c r="Y27" s="212">
        <f t="shared" ca="1" si="15"/>
        <v>-18.022354070212714</v>
      </c>
      <c r="Z27" s="212">
        <f t="shared" ca="1" si="15"/>
        <v>0</v>
      </c>
      <c r="AA27" s="212">
        <f t="shared" ca="1" si="15"/>
        <v>0</v>
      </c>
      <c r="AB27" s="212">
        <f t="shared" ca="1" si="15"/>
        <v>0</v>
      </c>
      <c r="AC27" s="212">
        <f t="shared" ca="1" si="15"/>
        <v>0</v>
      </c>
      <c r="AD27" s="212">
        <f t="shared" ca="1" si="15"/>
        <v>0</v>
      </c>
      <c r="AE27" s="212">
        <f t="shared" ca="1" si="15"/>
        <v>0</v>
      </c>
      <c r="AF27" s="212">
        <f t="shared" ca="1" si="15"/>
        <v>0</v>
      </c>
      <c r="AG27" s="212">
        <f t="shared" ca="1" si="15"/>
        <v>0</v>
      </c>
      <c r="AH27" s="222">
        <f t="shared" ca="1" si="15"/>
        <v>0</v>
      </c>
      <c r="AI27" s="212">
        <f t="shared" ca="1" si="15"/>
        <v>0</v>
      </c>
      <c r="AJ27" s="212">
        <f t="shared" ca="1" si="15"/>
        <v>0</v>
      </c>
      <c r="AK27" s="212">
        <f t="shared" ca="1" si="15"/>
        <v>0</v>
      </c>
      <c r="AL27" s="212">
        <f t="shared" ca="1" si="15"/>
        <v>0</v>
      </c>
      <c r="AM27" s="212">
        <f t="shared" ca="1" si="15"/>
        <v>0</v>
      </c>
      <c r="AN27" s="212">
        <f t="shared" ca="1" si="15"/>
        <v>0</v>
      </c>
      <c r="AO27" s="212">
        <f t="shared" ca="1" si="15"/>
        <v>0</v>
      </c>
      <c r="AP27" s="212">
        <f t="shared" ca="1" si="15"/>
        <v>0</v>
      </c>
      <c r="AQ27" s="212">
        <f t="shared" ca="1" si="15"/>
        <v>0</v>
      </c>
      <c r="AR27" s="212">
        <f t="shared" ca="1" si="15"/>
        <v>0</v>
      </c>
      <c r="AS27" s="212">
        <f t="shared" ca="1" si="15"/>
        <v>0</v>
      </c>
      <c r="AT27" s="222">
        <f t="shared" ca="1" si="15"/>
        <v>0</v>
      </c>
      <c r="AU27" s="212">
        <f t="shared" ca="1" si="15"/>
        <v>0</v>
      </c>
      <c r="AV27" s="212">
        <f t="shared" ca="1" si="15"/>
        <v>0</v>
      </c>
      <c r="AW27" s="212">
        <f t="shared" ca="1" si="15"/>
        <v>0</v>
      </c>
      <c r="AX27" s="212">
        <f t="shared" ca="1" si="15"/>
        <v>0</v>
      </c>
      <c r="AY27" s="212">
        <f t="shared" ca="1" si="15"/>
        <v>0</v>
      </c>
      <c r="AZ27" s="212">
        <f t="shared" ca="1" si="15"/>
        <v>0</v>
      </c>
      <c r="BA27" s="212">
        <f t="shared" ca="1" si="15"/>
        <v>0</v>
      </c>
      <c r="BB27" s="212">
        <f t="shared" ca="1" si="15"/>
        <v>0</v>
      </c>
      <c r="BC27" s="212">
        <f t="shared" ca="1" si="15"/>
        <v>0</v>
      </c>
      <c r="BD27" s="212">
        <f t="shared" ca="1" si="15"/>
        <v>0</v>
      </c>
      <c r="BE27" s="212">
        <f t="shared" ca="1" si="15"/>
        <v>0</v>
      </c>
      <c r="BF27" s="222">
        <f t="shared" ca="1" si="15"/>
        <v>0</v>
      </c>
      <c r="BG27" s="212">
        <f t="shared" ca="1" si="15"/>
        <v>0</v>
      </c>
      <c r="BH27" s="212">
        <f t="shared" ca="1" si="15"/>
        <v>0</v>
      </c>
      <c r="BI27" s="212">
        <f t="shared" ca="1" si="15"/>
        <v>0</v>
      </c>
      <c r="BJ27" s="212">
        <f t="shared" ca="1" si="15"/>
        <v>0</v>
      </c>
      <c r="BK27" s="212">
        <f t="shared" ca="1" si="15"/>
        <v>0</v>
      </c>
      <c r="BL27" s="212">
        <f t="shared" ca="1" si="15"/>
        <v>0</v>
      </c>
      <c r="BM27" s="212">
        <f t="shared" ca="1" si="15"/>
        <v>0</v>
      </c>
      <c r="BN27" s="212">
        <f t="shared" ca="1" si="15"/>
        <v>0</v>
      </c>
      <c r="BO27" s="212">
        <f t="shared" ca="1" si="15"/>
        <v>0</v>
      </c>
      <c r="BP27" s="212">
        <f t="shared" ca="1" si="15"/>
        <v>0</v>
      </c>
      <c r="BQ27" s="212">
        <f t="shared" ca="1" si="15"/>
        <v>0</v>
      </c>
      <c r="BR27" s="222">
        <f t="shared" ca="1" si="15"/>
        <v>0</v>
      </c>
    </row>
    <row r="28" spans="1:70" s="14" customFormat="1" ht="13.2" x14ac:dyDescent="0.3">
      <c r="A28" s="40"/>
      <c r="B28" s="201"/>
      <c r="C28" s="185" t="str">
        <f>Balance!C27</f>
        <v>Preferred stock</v>
      </c>
      <c r="E28" s="211">
        <f t="shared" si="0"/>
        <v>30</v>
      </c>
      <c r="F28" s="211">
        <f t="shared" si="1"/>
        <v>0</v>
      </c>
      <c r="G28" s="211">
        <f t="shared" si="2"/>
        <v>0</v>
      </c>
      <c r="H28" s="211">
        <f t="shared" si="3"/>
        <v>0</v>
      </c>
      <c r="I28" s="211">
        <f t="shared" si="4"/>
        <v>0</v>
      </c>
      <c r="J28" s="16"/>
      <c r="K28" s="212">
        <f>Balance!K27</f>
        <v>20</v>
      </c>
      <c r="L28" s="213">
        <f>Balance!L27-Balance!K27</f>
        <v>0</v>
      </c>
      <c r="M28" s="213">
        <f>Balance!M27-Balance!L27</f>
        <v>0</v>
      </c>
      <c r="N28" s="213">
        <f>Balance!N27-Balance!M27</f>
        <v>0</v>
      </c>
      <c r="O28" s="213">
        <f>Balance!O27-Balance!N27</f>
        <v>0</v>
      </c>
      <c r="P28" s="213">
        <f>Balance!P27-Balance!O27</f>
        <v>10</v>
      </c>
      <c r="Q28" s="213">
        <f>Balance!Q27-Balance!P27</f>
        <v>0</v>
      </c>
      <c r="R28" s="213">
        <f>Balance!R27-Balance!Q27</f>
        <v>0</v>
      </c>
      <c r="S28" s="213">
        <f>Balance!S27-Balance!R27</f>
        <v>0</v>
      </c>
      <c r="T28" s="213">
        <f>Balance!T27-Balance!S27</f>
        <v>0</v>
      </c>
      <c r="U28" s="213">
        <f>Balance!U27-Balance!T27</f>
        <v>0</v>
      </c>
      <c r="V28" s="211">
        <f>Balance!V27-Balance!U27</f>
        <v>0</v>
      </c>
      <c r="W28" s="212">
        <f>Balance!W27-Balance!V27</f>
        <v>0</v>
      </c>
      <c r="X28" s="213">
        <f>Balance!X27-Balance!W27</f>
        <v>0</v>
      </c>
      <c r="Y28" s="213">
        <f>Balance!Y27-Balance!X27</f>
        <v>0</v>
      </c>
      <c r="Z28" s="213">
        <f>Balance!Z27-Balance!Y27</f>
        <v>0</v>
      </c>
      <c r="AA28" s="213">
        <f>Balance!AA27-Balance!Z27</f>
        <v>0</v>
      </c>
      <c r="AB28" s="213">
        <f>Balance!AB27-Balance!AA27</f>
        <v>0</v>
      </c>
      <c r="AC28" s="213">
        <f>Balance!AC27-Balance!AB27</f>
        <v>0</v>
      </c>
      <c r="AD28" s="213">
        <f>Balance!AD27-Balance!AC27</f>
        <v>0</v>
      </c>
      <c r="AE28" s="213">
        <f>Balance!AE27-Balance!AD27</f>
        <v>0</v>
      </c>
      <c r="AF28" s="213">
        <f>Balance!AF27-Balance!AE27</f>
        <v>0</v>
      </c>
      <c r="AG28" s="213">
        <f>Balance!AG27-Balance!AF27</f>
        <v>0</v>
      </c>
      <c r="AH28" s="211">
        <f>Balance!AH27-Balance!AG27</f>
        <v>0</v>
      </c>
      <c r="AI28" s="212">
        <f>Balance!AI27-Balance!AH27</f>
        <v>0</v>
      </c>
      <c r="AJ28" s="213">
        <f>Balance!AJ27-Balance!AI27</f>
        <v>0</v>
      </c>
      <c r="AK28" s="213">
        <f>Balance!AK27-Balance!AJ27</f>
        <v>0</v>
      </c>
      <c r="AL28" s="213">
        <f>Balance!AL27-Balance!AK27</f>
        <v>0</v>
      </c>
      <c r="AM28" s="213">
        <f>Balance!AM27-Balance!AL27</f>
        <v>0</v>
      </c>
      <c r="AN28" s="213">
        <f>Balance!AN27-Balance!AM27</f>
        <v>0</v>
      </c>
      <c r="AO28" s="213">
        <f>Balance!AO27-Balance!AN27</f>
        <v>0</v>
      </c>
      <c r="AP28" s="213">
        <f>Balance!AP27-Balance!AO27</f>
        <v>0</v>
      </c>
      <c r="AQ28" s="213">
        <f>Balance!AQ27-Balance!AP27</f>
        <v>0</v>
      </c>
      <c r="AR28" s="213">
        <f>Balance!AR27-Balance!AQ27</f>
        <v>0</v>
      </c>
      <c r="AS28" s="213">
        <f>Balance!AS27-Balance!AR27</f>
        <v>0</v>
      </c>
      <c r="AT28" s="211">
        <f>Balance!AT27-Balance!AS27</f>
        <v>0</v>
      </c>
      <c r="AU28" s="212">
        <f>Balance!AU27-Balance!AT27</f>
        <v>0</v>
      </c>
      <c r="AV28" s="213">
        <f>Balance!AV27-Balance!AU27</f>
        <v>0</v>
      </c>
      <c r="AW28" s="213">
        <f>Balance!AW27-Balance!AV27</f>
        <v>0</v>
      </c>
      <c r="AX28" s="213">
        <f>Balance!AX27-Balance!AW27</f>
        <v>0</v>
      </c>
      <c r="AY28" s="213">
        <f>Balance!AY27-Balance!AX27</f>
        <v>0</v>
      </c>
      <c r="AZ28" s="213">
        <f>Balance!AZ27-Balance!AY27</f>
        <v>0</v>
      </c>
      <c r="BA28" s="213">
        <f>Balance!BA27-Balance!AZ27</f>
        <v>0</v>
      </c>
      <c r="BB28" s="213">
        <f>Balance!BB27-Balance!BA27</f>
        <v>0</v>
      </c>
      <c r="BC28" s="213">
        <f>Balance!BC27-Balance!BB27</f>
        <v>0</v>
      </c>
      <c r="BD28" s="213">
        <f>Balance!BD27-Balance!BC27</f>
        <v>0</v>
      </c>
      <c r="BE28" s="213">
        <f>Balance!BE27-Balance!BD27</f>
        <v>0</v>
      </c>
      <c r="BF28" s="211">
        <f>Balance!BF27-Balance!BE27</f>
        <v>0</v>
      </c>
      <c r="BG28" s="212">
        <f>Balance!BG27-Balance!BF27</f>
        <v>0</v>
      </c>
      <c r="BH28" s="213">
        <f>Balance!BH27-Balance!BG27</f>
        <v>0</v>
      </c>
      <c r="BI28" s="213">
        <f>Balance!BI27-Balance!BH27</f>
        <v>0</v>
      </c>
      <c r="BJ28" s="213">
        <f>Balance!BJ27-Balance!BI27</f>
        <v>0</v>
      </c>
      <c r="BK28" s="213">
        <f>Balance!BK27-Balance!BJ27</f>
        <v>0</v>
      </c>
      <c r="BL28" s="213">
        <f>Balance!BL27-Balance!BK27</f>
        <v>0</v>
      </c>
      <c r="BM28" s="213">
        <f>Balance!BM27-Balance!BL27</f>
        <v>0</v>
      </c>
      <c r="BN28" s="213">
        <f>Balance!BN27-Balance!BM27</f>
        <v>0</v>
      </c>
      <c r="BO28" s="213">
        <f>Balance!BO27-Balance!BN27</f>
        <v>0</v>
      </c>
      <c r="BP28" s="213">
        <f>Balance!BP27-Balance!BO27</f>
        <v>0</v>
      </c>
      <c r="BQ28" s="213">
        <f>Balance!BQ27-Balance!BP27</f>
        <v>0</v>
      </c>
      <c r="BR28" s="211">
        <f>Balance!BR27-Balance!BQ27</f>
        <v>0</v>
      </c>
    </row>
    <row r="29" spans="1:70" s="14" customFormat="1" ht="13.2" x14ac:dyDescent="0.3">
      <c r="A29" s="135"/>
      <c r="B29" s="67"/>
      <c r="C29" s="185" t="str">
        <f>Balance!C28</f>
        <v>Common stock</v>
      </c>
      <c r="E29" s="211">
        <f t="shared" si="0"/>
        <v>55</v>
      </c>
      <c r="F29" s="211">
        <f t="shared" si="1"/>
        <v>60</v>
      </c>
      <c r="G29" s="211">
        <f t="shared" si="2"/>
        <v>0</v>
      </c>
      <c r="H29" s="211">
        <f t="shared" si="3"/>
        <v>0</v>
      </c>
      <c r="I29" s="211">
        <f t="shared" si="4"/>
        <v>0</v>
      </c>
      <c r="J29" s="16"/>
      <c r="K29" s="212">
        <f>Balance!K28</f>
        <v>40</v>
      </c>
      <c r="L29" s="213">
        <f>Balance!L28-Balance!K28</f>
        <v>0</v>
      </c>
      <c r="M29" s="213">
        <f>Balance!M28-Balance!L28</f>
        <v>0</v>
      </c>
      <c r="N29" s="213">
        <f>Balance!N28-Balance!M28</f>
        <v>0</v>
      </c>
      <c r="O29" s="213">
        <f>Balance!O28-Balance!N28</f>
        <v>0</v>
      </c>
      <c r="P29" s="213">
        <f>Balance!P28-Balance!O28</f>
        <v>15</v>
      </c>
      <c r="Q29" s="213">
        <f>Balance!Q28-Balance!P28</f>
        <v>0</v>
      </c>
      <c r="R29" s="213">
        <f>Balance!R28-Balance!Q28</f>
        <v>0</v>
      </c>
      <c r="S29" s="213">
        <f>Balance!S28-Balance!R28</f>
        <v>0</v>
      </c>
      <c r="T29" s="213">
        <f>Balance!T28-Balance!S28</f>
        <v>0</v>
      </c>
      <c r="U29" s="213">
        <f>Balance!U28-Balance!T28</f>
        <v>0</v>
      </c>
      <c r="V29" s="211">
        <f>Balance!V28-Balance!U28</f>
        <v>0</v>
      </c>
      <c r="W29" s="212">
        <f>Balance!W28-Balance!V28</f>
        <v>60</v>
      </c>
      <c r="X29" s="213">
        <f>Balance!X28-Balance!W28</f>
        <v>0</v>
      </c>
      <c r="Y29" s="213">
        <f>Balance!Y28-Balance!X28</f>
        <v>0</v>
      </c>
      <c r="Z29" s="213">
        <f>Balance!Z28-Balance!Y28</f>
        <v>0</v>
      </c>
      <c r="AA29" s="213">
        <f>Balance!AA28-Balance!Z28</f>
        <v>0</v>
      </c>
      <c r="AB29" s="213">
        <f>Balance!AB28-Balance!AA28</f>
        <v>0</v>
      </c>
      <c r="AC29" s="213">
        <f>Balance!AC28-Balance!AB28</f>
        <v>0</v>
      </c>
      <c r="AD29" s="213">
        <f>Balance!AD28-Balance!AC28</f>
        <v>0</v>
      </c>
      <c r="AE29" s="213">
        <f>Balance!AE28-Balance!AD28</f>
        <v>0</v>
      </c>
      <c r="AF29" s="213">
        <f>Balance!AF28-Balance!AE28</f>
        <v>0</v>
      </c>
      <c r="AG29" s="213">
        <f>Balance!AG28-Balance!AF28</f>
        <v>0</v>
      </c>
      <c r="AH29" s="211">
        <f>Balance!AH28-Balance!AG28</f>
        <v>0</v>
      </c>
      <c r="AI29" s="212">
        <f>Balance!AI28-Balance!AH28</f>
        <v>0</v>
      </c>
      <c r="AJ29" s="213">
        <f>Balance!AJ28-Balance!AI28</f>
        <v>0</v>
      </c>
      <c r="AK29" s="213">
        <f>Balance!AK28-Balance!AJ28</f>
        <v>0</v>
      </c>
      <c r="AL29" s="213">
        <f>Balance!AL28-Balance!AK28</f>
        <v>0</v>
      </c>
      <c r="AM29" s="213">
        <f>Balance!AM28-Balance!AL28</f>
        <v>0</v>
      </c>
      <c r="AN29" s="213">
        <f>Balance!AN28-Balance!AM28</f>
        <v>0</v>
      </c>
      <c r="AO29" s="213">
        <f>Balance!AO28-Balance!AN28</f>
        <v>0</v>
      </c>
      <c r="AP29" s="213">
        <f>Balance!AP28-Balance!AO28</f>
        <v>0</v>
      </c>
      <c r="AQ29" s="213">
        <f>Balance!AQ28-Balance!AP28</f>
        <v>0</v>
      </c>
      <c r="AR29" s="213">
        <f>Balance!AR28-Balance!AQ28</f>
        <v>0</v>
      </c>
      <c r="AS29" s="213">
        <f>Balance!AS28-Balance!AR28</f>
        <v>0</v>
      </c>
      <c r="AT29" s="211">
        <f>Balance!AT28-Balance!AS28</f>
        <v>0</v>
      </c>
      <c r="AU29" s="212">
        <f>Balance!AU28-Balance!AT28</f>
        <v>0</v>
      </c>
      <c r="AV29" s="213">
        <f>Balance!AV28-Balance!AU28</f>
        <v>0</v>
      </c>
      <c r="AW29" s="213">
        <f>Balance!AW28-Balance!AV28</f>
        <v>0</v>
      </c>
      <c r="AX29" s="213">
        <f>Balance!AX28-Balance!AW28</f>
        <v>0</v>
      </c>
      <c r="AY29" s="213">
        <f>Balance!AY28-Balance!AX28</f>
        <v>0</v>
      </c>
      <c r="AZ29" s="213">
        <f>Balance!AZ28-Balance!AY28</f>
        <v>0</v>
      </c>
      <c r="BA29" s="213">
        <f>Balance!BA28-Balance!AZ28</f>
        <v>0</v>
      </c>
      <c r="BB29" s="213">
        <f>Balance!BB28-Balance!BA28</f>
        <v>0</v>
      </c>
      <c r="BC29" s="213">
        <f>Balance!BC28-Balance!BB28</f>
        <v>0</v>
      </c>
      <c r="BD29" s="213">
        <f>Balance!BD28-Balance!BC28</f>
        <v>0</v>
      </c>
      <c r="BE29" s="213">
        <f>Balance!BE28-Balance!BD28</f>
        <v>0</v>
      </c>
      <c r="BF29" s="211">
        <f>Balance!BF28-Balance!BE28</f>
        <v>0</v>
      </c>
      <c r="BG29" s="212">
        <f>Balance!BG28-Balance!BF28</f>
        <v>0</v>
      </c>
      <c r="BH29" s="213">
        <f>Balance!BH28-Balance!BG28</f>
        <v>0</v>
      </c>
      <c r="BI29" s="213">
        <f>Balance!BI28-Balance!BH28</f>
        <v>0</v>
      </c>
      <c r="BJ29" s="213">
        <f>Balance!BJ28-Balance!BI28</f>
        <v>0</v>
      </c>
      <c r="BK29" s="213">
        <f>Balance!BK28-Balance!BJ28</f>
        <v>0</v>
      </c>
      <c r="BL29" s="213">
        <f>Balance!BL28-Balance!BK28</f>
        <v>0</v>
      </c>
      <c r="BM29" s="213">
        <f>Balance!BM28-Balance!BL28</f>
        <v>0</v>
      </c>
      <c r="BN29" s="213">
        <f>Balance!BN28-Balance!BM28</f>
        <v>0</v>
      </c>
      <c r="BO29" s="213">
        <f>Balance!BO28-Balance!BN28</f>
        <v>0</v>
      </c>
      <c r="BP29" s="213">
        <f>Balance!BP28-Balance!BO28</f>
        <v>0</v>
      </c>
      <c r="BQ29" s="213">
        <f>Balance!BQ28-Balance!BP28</f>
        <v>0</v>
      </c>
      <c r="BR29" s="211">
        <f>Balance!BR28-Balance!BQ28</f>
        <v>0</v>
      </c>
    </row>
    <row r="30" spans="1:70" s="14" customFormat="1" ht="13.2" x14ac:dyDescent="0.3">
      <c r="A30" s="5"/>
      <c r="B30" s="67"/>
      <c r="C30" s="178" t="s">
        <v>188</v>
      </c>
      <c r="E30" s="215">
        <f t="shared" ca="1" si="0"/>
        <v>-8.4048204025061022</v>
      </c>
      <c r="F30" s="215">
        <f t="shared" ca="1" si="1"/>
        <v>-7.9277066173429009</v>
      </c>
      <c r="G30" s="215">
        <f t="shared" ca="1" si="2"/>
        <v>0</v>
      </c>
      <c r="H30" s="215">
        <f t="shared" ca="1" si="3"/>
        <v>0</v>
      </c>
      <c r="I30" s="215">
        <f t="shared" ca="1" si="4"/>
        <v>0</v>
      </c>
      <c r="J30" s="16"/>
      <c r="K30" s="216">
        <f ca="1">-Income!K28</f>
        <v>0</v>
      </c>
      <c r="L30" s="216">
        <f ca="1">-Income!L28</f>
        <v>0</v>
      </c>
      <c r="M30" s="216">
        <f ca="1">-Income!M28</f>
        <v>0</v>
      </c>
      <c r="N30" s="216">
        <f ca="1">-Income!N28</f>
        <v>0</v>
      </c>
      <c r="O30" s="216">
        <f ca="1">-Income!O28</f>
        <v>0</v>
      </c>
      <c r="P30" s="216">
        <f ca="1">-Income!P28</f>
        <v>-8.4048204025061022</v>
      </c>
      <c r="Q30" s="216">
        <f ca="1">-Income!Q28</f>
        <v>0</v>
      </c>
      <c r="R30" s="216">
        <f ca="1">-Income!R28</f>
        <v>0</v>
      </c>
      <c r="S30" s="216">
        <f ca="1">-Income!S28</f>
        <v>0</v>
      </c>
      <c r="T30" s="216">
        <f ca="1">-Income!T28</f>
        <v>0</v>
      </c>
      <c r="U30" s="216">
        <f ca="1">-Income!U28</f>
        <v>0</v>
      </c>
      <c r="V30" s="215">
        <f ca="1">-Income!V28</f>
        <v>0</v>
      </c>
      <c r="W30" s="216">
        <f ca="1">-Income!W28</f>
        <v>-7.9277066173429009</v>
      </c>
      <c r="X30" s="216">
        <f ca="1">-Income!X28</f>
        <v>0</v>
      </c>
      <c r="Y30" s="216">
        <f ca="1">-Income!Y28</f>
        <v>0</v>
      </c>
      <c r="Z30" s="216">
        <f ca="1">-Income!Z28</f>
        <v>0</v>
      </c>
      <c r="AA30" s="216">
        <f ca="1">-Income!AA28</f>
        <v>0</v>
      </c>
      <c r="AB30" s="216">
        <f ca="1">-Income!AB28</f>
        <v>0</v>
      </c>
      <c r="AC30" s="216">
        <f ca="1">-Income!AC28</f>
        <v>0</v>
      </c>
      <c r="AD30" s="216">
        <f ca="1">-Income!AD28</f>
        <v>0</v>
      </c>
      <c r="AE30" s="216">
        <f ca="1">-Income!AE28</f>
        <v>0</v>
      </c>
      <c r="AF30" s="216">
        <f ca="1">-Income!AF28</f>
        <v>0</v>
      </c>
      <c r="AG30" s="216">
        <f ca="1">-Income!AG28</f>
        <v>0</v>
      </c>
      <c r="AH30" s="215">
        <f ca="1">-Income!AH28</f>
        <v>0</v>
      </c>
      <c r="AI30" s="216">
        <f ca="1">-Income!AI28</f>
        <v>0</v>
      </c>
      <c r="AJ30" s="216">
        <f ca="1">-Income!AJ28</f>
        <v>0</v>
      </c>
      <c r="AK30" s="216">
        <f ca="1">-Income!AK28</f>
        <v>0</v>
      </c>
      <c r="AL30" s="216">
        <f ca="1">-Income!AL28</f>
        <v>0</v>
      </c>
      <c r="AM30" s="216">
        <f ca="1">-Income!AM28</f>
        <v>0</v>
      </c>
      <c r="AN30" s="216">
        <f ca="1">-Income!AN28</f>
        <v>0</v>
      </c>
      <c r="AO30" s="216">
        <f ca="1">-Income!AO28</f>
        <v>0</v>
      </c>
      <c r="AP30" s="216">
        <f ca="1">-Income!AP28</f>
        <v>0</v>
      </c>
      <c r="AQ30" s="216">
        <f ca="1">-Income!AQ28</f>
        <v>0</v>
      </c>
      <c r="AR30" s="216">
        <f ca="1">-Income!AR28</f>
        <v>0</v>
      </c>
      <c r="AS30" s="216">
        <f ca="1">-Income!AS28</f>
        <v>0</v>
      </c>
      <c r="AT30" s="215">
        <f ca="1">-Income!AT28</f>
        <v>0</v>
      </c>
      <c r="AU30" s="216">
        <f ca="1">-Income!AU28</f>
        <v>0</v>
      </c>
      <c r="AV30" s="216">
        <f ca="1">-Income!AV28</f>
        <v>0</v>
      </c>
      <c r="AW30" s="216">
        <f ca="1">-Income!AW28</f>
        <v>0</v>
      </c>
      <c r="AX30" s="216">
        <f ca="1">-Income!AX28</f>
        <v>0</v>
      </c>
      <c r="AY30" s="216">
        <f ca="1">-Income!AY28</f>
        <v>0</v>
      </c>
      <c r="AZ30" s="216">
        <f ca="1">-Income!AZ28</f>
        <v>0</v>
      </c>
      <c r="BA30" s="216">
        <f ca="1">-Income!BA28</f>
        <v>0</v>
      </c>
      <c r="BB30" s="216">
        <f ca="1">-Income!BB28</f>
        <v>0</v>
      </c>
      <c r="BC30" s="216">
        <f ca="1">-Income!BC28</f>
        <v>0</v>
      </c>
      <c r="BD30" s="216">
        <f ca="1">-Income!BD28</f>
        <v>0</v>
      </c>
      <c r="BE30" s="216">
        <f ca="1">-Income!BE28</f>
        <v>0</v>
      </c>
      <c r="BF30" s="215">
        <f ca="1">-Income!BF28</f>
        <v>0</v>
      </c>
      <c r="BG30" s="216">
        <f ca="1">-Income!BG28</f>
        <v>0</v>
      </c>
      <c r="BH30" s="216">
        <f ca="1">-Income!BH28</f>
        <v>0</v>
      </c>
      <c r="BI30" s="216">
        <f ca="1">-Income!BI28</f>
        <v>0</v>
      </c>
      <c r="BJ30" s="216">
        <f ca="1">-Income!BJ28</f>
        <v>0</v>
      </c>
      <c r="BK30" s="216">
        <f ca="1">-Income!BK28</f>
        <v>0</v>
      </c>
      <c r="BL30" s="216">
        <f ca="1">-Income!BL28</f>
        <v>0</v>
      </c>
      <c r="BM30" s="216">
        <f ca="1">-Income!BM28</f>
        <v>0</v>
      </c>
      <c r="BN30" s="216">
        <f ca="1">-Income!BN28</f>
        <v>0</v>
      </c>
      <c r="BO30" s="216">
        <f ca="1">-Income!BO28</f>
        <v>0</v>
      </c>
      <c r="BP30" s="216">
        <f ca="1">-Income!BP28</f>
        <v>0</v>
      </c>
      <c r="BQ30" s="216">
        <f ca="1">-Income!BQ28</f>
        <v>0</v>
      </c>
      <c r="BR30" s="215">
        <f ca="1">-Income!BR28</f>
        <v>0</v>
      </c>
    </row>
    <row r="31" spans="1:70" s="14" customFormat="1" ht="13.2" x14ac:dyDescent="0.3">
      <c r="A31" s="13"/>
      <c r="B31" s="201"/>
      <c r="C31" s="228" t="s">
        <v>189</v>
      </c>
      <c r="D31" s="16"/>
      <c r="E31" s="229">
        <f t="shared" ca="1" si="0"/>
        <v>76.595179597493896</v>
      </c>
      <c r="F31" s="229">
        <f t="shared" ca="1" si="1"/>
        <v>52.072293382657101</v>
      </c>
      <c r="G31" s="229">
        <f t="shared" ca="1" si="2"/>
        <v>0</v>
      </c>
      <c r="H31" s="229">
        <f t="shared" ca="1" si="3"/>
        <v>0</v>
      </c>
      <c r="I31" s="229">
        <f t="shared" ca="1" si="4"/>
        <v>0</v>
      </c>
      <c r="J31" s="16"/>
      <c r="K31" s="220">
        <f ca="1">SUM(K28:K30)</f>
        <v>60</v>
      </c>
      <c r="L31" s="220">
        <f t="shared" ref="L31:BR31" ca="1" si="16">SUM(L28:L30)</f>
        <v>0</v>
      </c>
      <c r="M31" s="220">
        <f t="shared" ca="1" si="16"/>
        <v>0</v>
      </c>
      <c r="N31" s="220">
        <f t="shared" ca="1" si="16"/>
        <v>0</v>
      </c>
      <c r="O31" s="220">
        <f t="shared" ca="1" si="16"/>
        <v>0</v>
      </c>
      <c r="P31" s="220">
        <f t="shared" ca="1" si="16"/>
        <v>16.595179597493896</v>
      </c>
      <c r="Q31" s="220">
        <f t="shared" ca="1" si="16"/>
        <v>0</v>
      </c>
      <c r="R31" s="220">
        <f t="shared" ca="1" si="16"/>
        <v>0</v>
      </c>
      <c r="S31" s="220">
        <f t="shared" ca="1" si="16"/>
        <v>0</v>
      </c>
      <c r="T31" s="220">
        <f t="shared" ca="1" si="16"/>
        <v>0</v>
      </c>
      <c r="U31" s="220">
        <f t="shared" ca="1" si="16"/>
        <v>0</v>
      </c>
      <c r="V31" s="229">
        <f t="shared" ca="1" si="16"/>
        <v>0</v>
      </c>
      <c r="W31" s="220">
        <f t="shared" ca="1" si="16"/>
        <v>52.072293382657101</v>
      </c>
      <c r="X31" s="220">
        <f t="shared" ca="1" si="16"/>
        <v>0</v>
      </c>
      <c r="Y31" s="220">
        <f t="shared" ca="1" si="16"/>
        <v>0</v>
      </c>
      <c r="Z31" s="220">
        <f t="shared" ca="1" si="16"/>
        <v>0</v>
      </c>
      <c r="AA31" s="220">
        <f t="shared" ca="1" si="16"/>
        <v>0</v>
      </c>
      <c r="AB31" s="220">
        <f t="shared" ca="1" si="16"/>
        <v>0</v>
      </c>
      <c r="AC31" s="220">
        <f t="shared" ca="1" si="16"/>
        <v>0</v>
      </c>
      <c r="AD31" s="220">
        <f t="shared" ca="1" si="16"/>
        <v>0</v>
      </c>
      <c r="AE31" s="220">
        <f t="shared" ca="1" si="16"/>
        <v>0</v>
      </c>
      <c r="AF31" s="220">
        <f t="shared" ca="1" si="16"/>
        <v>0</v>
      </c>
      <c r="AG31" s="220">
        <f t="shared" ca="1" si="16"/>
        <v>0</v>
      </c>
      <c r="AH31" s="229">
        <f t="shared" ca="1" si="16"/>
        <v>0</v>
      </c>
      <c r="AI31" s="220">
        <f t="shared" ca="1" si="16"/>
        <v>0</v>
      </c>
      <c r="AJ31" s="220">
        <f t="shared" ca="1" si="16"/>
        <v>0</v>
      </c>
      <c r="AK31" s="220">
        <f t="shared" ca="1" si="16"/>
        <v>0</v>
      </c>
      <c r="AL31" s="220">
        <f t="shared" ca="1" si="16"/>
        <v>0</v>
      </c>
      <c r="AM31" s="220">
        <f t="shared" ca="1" si="16"/>
        <v>0</v>
      </c>
      <c r="AN31" s="220">
        <f t="shared" ca="1" si="16"/>
        <v>0</v>
      </c>
      <c r="AO31" s="220">
        <f t="shared" ca="1" si="16"/>
        <v>0</v>
      </c>
      <c r="AP31" s="220">
        <f t="shared" ca="1" si="16"/>
        <v>0</v>
      </c>
      <c r="AQ31" s="220">
        <f t="shared" ca="1" si="16"/>
        <v>0</v>
      </c>
      <c r="AR31" s="220">
        <f t="shared" ca="1" si="16"/>
        <v>0</v>
      </c>
      <c r="AS31" s="220">
        <f t="shared" ca="1" si="16"/>
        <v>0</v>
      </c>
      <c r="AT31" s="229">
        <f t="shared" ca="1" si="16"/>
        <v>0</v>
      </c>
      <c r="AU31" s="220">
        <f t="shared" ca="1" si="16"/>
        <v>0</v>
      </c>
      <c r="AV31" s="220">
        <f t="shared" ca="1" si="16"/>
        <v>0</v>
      </c>
      <c r="AW31" s="220">
        <f t="shared" ca="1" si="16"/>
        <v>0</v>
      </c>
      <c r="AX31" s="220">
        <f t="shared" ca="1" si="16"/>
        <v>0</v>
      </c>
      <c r="AY31" s="220">
        <f t="shared" ca="1" si="16"/>
        <v>0</v>
      </c>
      <c r="AZ31" s="220">
        <f t="shared" ca="1" si="16"/>
        <v>0</v>
      </c>
      <c r="BA31" s="220">
        <f t="shared" ca="1" si="16"/>
        <v>0</v>
      </c>
      <c r="BB31" s="220">
        <f t="shared" ca="1" si="16"/>
        <v>0</v>
      </c>
      <c r="BC31" s="220">
        <f t="shared" ca="1" si="16"/>
        <v>0</v>
      </c>
      <c r="BD31" s="220">
        <f t="shared" ca="1" si="16"/>
        <v>0</v>
      </c>
      <c r="BE31" s="220">
        <f t="shared" ca="1" si="16"/>
        <v>0</v>
      </c>
      <c r="BF31" s="229">
        <f t="shared" ca="1" si="16"/>
        <v>0</v>
      </c>
      <c r="BG31" s="220">
        <f t="shared" ca="1" si="16"/>
        <v>0</v>
      </c>
      <c r="BH31" s="220">
        <f t="shared" ca="1" si="16"/>
        <v>0</v>
      </c>
      <c r="BI31" s="220">
        <f t="shared" ca="1" si="16"/>
        <v>0</v>
      </c>
      <c r="BJ31" s="220">
        <f t="shared" ca="1" si="16"/>
        <v>0</v>
      </c>
      <c r="BK31" s="220">
        <f t="shared" ca="1" si="16"/>
        <v>0</v>
      </c>
      <c r="BL31" s="220">
        <f t="shared" ca="1" si="16"/>
        <v>0</v>
      </c>
      <c r="BM31" s="220">
        <f t="shared" ca="1" si="16"/>
        <v>0</v>
      </c>
      <c r="BN31" s="220">
        <f t="shared" ca="1" si="16"/>
        <v>0</v>
      </c>
      <c r="BO31" s="220">
        <f t="shared" ca="1" si="16"/>
        <v>0</v>
      </c>
      <c r="BP31" s="220">
        <f t="shared" ca="1" si="16"/>
        <v>0</v>
      </c>
      <c r="BQ31" s="220">
        <f t="shared" ca="1" si="16"/>
        <v>0</v>
      </c>
      <c r="BR31" s="229">
        <f t="shared" ca="1" si="16"/>
        <v>0</v>
      </c>
    </row>
    <row r="32" spans="1:70" s="175" customFormat="1" ht="13.2" x14ac:dyDescent="0.3">
      <c r="A32" s="13"/>
      <c r="C32" s="230" t="s">
        <v>76</v>
      </c>
      <c r="E32" s="231">
        <f t="shared" ca="1" si="0"/>
        <v>378.08477106817014</v>
      </c>
      <c r="F32" s="231">
        <f t="shared" ca="1" si="1"/>
        <v>-59.417298088019102</v>
      </c>
      <c r="G32" s="231">
        <f t="shared" ca="1" si="2"/>
        <v>0</v>
      </c>
      <c r="H32" s="231">
        <f t="shared" ca="1" si="3"/>
        <v>0</v>
      </c>
      <c r="I32" s="231">
        <f t="shared" ca="1" si="4"/>
        <v>0</v>
      </c>
      <c r="J32" s="199"/>
      <c r="K32" s="232">
        <f ca="1">K27+K31</f>
        <v>428.96897399875945</v>
      </c>
      <c r="L32" s="232">
        <f t="shared" ref="L32:BR32" ca="1" si="17">L27+L31</f>
        <v>33.92365113180486</v>
      </c>
      <c r="M32" s="232">
        <f t="shared" ca="1" si="17"/>
        <v>38.742215721729451</v>
      </c>
      <c r="N32" s="232">
        <f t="shared" ca="1" si="17"/>
        <v>-17.232839251377186</v>
      </c>
      <c r="O32" s="232">
        <f t="shared" ca="1" si="17"/>
        <v>-17.85192502828636</v>
      </c>
      <c r="P32" s="232">
        <f t="shared" ca="1" si="17"/>
        <v>78.770893887054243</v>
      </c>
      <c r="Q32" s="232">
        <f t="shared" ca="1" si="17"/>
        <v>-21.619178347131708</v>
      </c>
      <c r="R32" s="232">
        <f t="shared" ca="1" si="17"/>
        <v>-22.271044425203741</v>
      </c>
      <c r="S32" s="232">
        <f t="shared" ca="1" si="17"/>
        <v>-22.930365149612612</v>
      </c>
      <c r="T32" s="232">
        <f t="shared" ca="1" si="17"/>
        <v>-23.597209963994089</v>
      </c>
      <c r="U32" s="232">
        <f t="shared" ca="1" si="17"/>
        <v>-22.671648903911148</v>
      </c>
      <c r="V32" s="231">
        <f t="shared" ca="1" si="17"/>
        <v>-54.146752601661035</v>
      </c>
      <c r="W32" s="232">
        <f t="shared" ca="1" si="17"/>
        <v>-20.137409880403489</v>
      </c>
      <c r="X32" s="232">
        <f t="shared" ca="1" si="17"/>
        <v>-21.257534137402899</v>
      </c>
      <c r="Y32" s="232">
        <f t="shared" ca="1" si="17"/>
        <v>-18.022354070212714</v>
      </c>
      <c r="Z32" s="232">
        <f t="shared" ca="1" si="17"/>
        <v>0</v>
      </c>
      <c r="AA32" s="232">
        <f t="shared" ca="1" si="17"/>
        <v>0</v>
      </c>
      <c r="AB32" s="232">
        <f t="shared" ca="1" si="17"/>
        <v>0</v>
      </c>
      <c r="AC32" s="232">
        <f t="shared" ca="1" si="17"/>
        <v>0</v>
      </c>
      <c r="AD32" s="232">
        <f t="shared" ca="1" si="17"/>
        <v>0</v>
      </c>
      <c r="AE32" s="232">
        <f t="shared" ca="1" si="17"/>
        <v>0</v>
      </c>
      <c r="AF32" s="232">
        <f t="shared" ca="1" si="17"/>
        <v>0</v>
      </c>
      <c r="AG32" s="232">
        <f t="shared" ca="1" si="17"/>
        <v>0</v>
      </c>
      <c r="AH32" s="231">
        <f t="shared" ca="1" si="17"/>
        <v>0</v>
      </c>
      <c r="AI32" s="232">
        <f t="shared" ca="1" si="17"/>
        <v>0</v>
      </c>
      <c r="AJ32" s="232">
        <f t="shared" ca="1" si="17"/>
        <v>0</v>
      </c>
      <c r="AK32" s="232">
        <f t="shared" ca="1" si="17"/>
        <v>0</v>
      </c>
      <c r="AL32" s="232">
        <f t="shared" ca="1" si="17"/>
        <v>0</v>
      </c>
      <c r="AM32" s="232">
        <f t="shared" ca="1" si="17"/>
        <v>0</v>
      </c>
      <c r="AN32" s="232">
        <f t="shared" ca="1" si="17"/>
        <v>0</v>
      </c>
      <c r="AO32" s="232">
        <f t="shared" ca="1" si="17"/>
        <v>0</v>
      </c>
      <c r="AP32" s="232">
        <f t="shared" ca="1" si="17"/>
        <v>0</v>
      </c>
      <c r="AQ32" s="232">
        <f t="shared" ca="1" si="17"/>
        <v>0</v>
      </c>
      <c r="AR32" s="232">
        <f t="shared" ca="1" si="17"/>
        <v>0</v>
      </c>
      <c r="AS32" s="232">
        <f t="shared" ca="1" si="17"/>
        <v>0</v>
      </c>
      <c r="AT32" s="231">
        <f t="shared" ca="1" si="17"/>
        <v>0</v>
      </c>
      <c r="AU32" s="232">
        <f t="shared" ca="1" si="17"/>
        <v>0</v>
      </c>
      <c r="AV32" s="232">
        <f t="shared" ca="1" si="17"/>
        <v>0</v>
      </c>
      <c r="AW32" s="232">
        <f t="shared" ca="1" si="17"/>
        <v>0</v>
      </c>
      <c r="AX32" s="232">
        <f t="shared" ca="1" si="17"/>
        <v>0</v>
      </c>
      <c r="AY32" s="232">
        <f t="shared" ca="1" si="17"/>
        <v>0</v>
      </c>
      <c r="AZ32" s="232">
        <f t="shared" ca="1" si="17"/>
        <v>0</v>
      </c>
      <c r="BA32" s="232">
        <f t="shared" ca="1" si="17"/>
        <v>0</v>
      </c>
      <c r="BB32" s="232">
        <f t="shared" ca="1" si="17"/>
        <v>0</v>
      </c>
      <c r="BC32" s="232">
        <f t="shared" ca="1" si="17"/>
        <v>0</v>
      </c>
      <c r="BD32" s="232">
        <f t="shared" ca="1" si="17"/>
        <v>0</v>
      </c>
      <c r="BE32" s="232">
        <f t="shared" ca="1" si="17"/>
        <v>0</v>
      </c>
      <c r="BF32" s="231">
        <f t="shared" ca="1" si="17"/>
        <v>0</v>
      </c>
      <c r="BG32" s="232">
        <f t="shared" ca="1" si="17"/>
        <v>0</v>
      </c>
      <c r="BH32" s="232">
        <f t="shared" ca="1" si="17"/>
        <v>0</v>
      </c>
      <c r="BI32" s="232">
        <f t="shared" ca="1" si="17"/>
        <v>0</v>
      </c>
      <c r="BJ32" s="232">
        <f t="shared" ca="1" si="17"/>
        <v>0</v>
      </c>
      <c r="BK32" s="232">
        <f t="shared" ca="1" si="17"/>
        <v>0</v>
      </c>
      <c r="BL32" s="232">
        <f t="shared" ca="1" si="17"/>
        <v>0</v>
      </c>
      <c r="BM32" s="232">
        <f t="shared" ca="1" si="17"/>
        <v>0</v>
      </c>
      <c r="BN32" s="232">
        <f t="shared" ca="1" si="17"/>
        <v>0</v>
      </c>
      <c r="BO32" s="232">
        <f t="shared" ca="1" si="17"/>
        <v>0</v>
      </c>
      <c r="BP32" s="232">
        <f t="shared" ca="1" si="17"/>
        <v>0</v>
      </c>
      <c r="BQ32" s="232">
        <f t="shared" ca="1" si="17"/>
        <v>0</v>
      </c>
      <c r="BR32" s="231">
        <f t="shared" ca="1" si="17"/>
        <v>0</v>
      </c>
    </row>
    <row r="33" spans="1:70" s="197" customFormat="1" ht="13.2" x14ac:dyDescent="0.3">
      <c r="A33" s="5"/>
      <c r="C33" s="221" t="s">
        <v>190</v>
      </c>
      <c r="D33" s="199"/>
      <c r="E33" s="222">
        <f t="shared" ca="1" si="0"/>
        <v>300.00000000000006</v>
      </c>
      <c r="F33" s="222">
        <f t="shared" ca="1" si="1"/>
        <v>229.47427960724093</v>
      </c>
      <c r="G33" s="222">
        <f t="shared" ca="1" si="2"/>
        <v>370.23871403017841</v>
      </c>
      <c r="H33" s="222">
        <f t="shared" ca="1" si="3"/>
        <v>459.86333656419919</v>
      </c>
      <c r="I33" s="222">
        <f t="shared" ca="1" si="4"/>
        <v>615.66606512073849</v>
      </c>
      <c r="J33" s="199"/>
      <c r="K33" s="223">
        <f t="shared" ref="K33:BR33" ca="1" si="18">IF(ABS(SUM(K32,K23,K14))&lt;0.001,0,SUM(K32,K23,K14))</f>
        <v>300.00000000000006</v>
      </c>
      <c r="L33" s="223">
        <f t="shared" ca="1" si="18"/>
        <v>0</v>
      </c>
      <c r="M33" s="223">
        <f t="shared" ca="1" si="18"/>
        <v>0</v>
      </c>
      <c r="N33" s="223">
        <f t="shared" ca="1" si="18"/>
        <v>0</v>
      </c>
      <c r="O33" s="223">
        <f t="shared" ca="1" si="18"/>
        <v>0</v>
      </c>
      <c r="P33" s="223">
        <f t="shared" ca="1" si="18"/>
        <v>0</v>
      </c>
      <c r="Q33" s="223">
        <f t="shared" ca="1" si="18"/>
        <v>0</v>
      </c>
      <c r="R33" s="223">
        <f t="shared" ca="1" si="18"/>
        <v>0</v>
      </c>
      <c r="S33" s="223">
        <f t="shared" ca="1" si="18"/>
        <v>0</v>
      </c>
      <c r="T33" s="223">
        <f t="shared" ca="1" si="18"/>
        <v>0</v>
      </c>
      <c r="U33" s="223">
        <f t="shared" ca="1" si="18"/>
        <v>0</v>
      </c>
      <c r="V33" s="222">
        <f t="shared" ca="1" si="18"/>
        <v>0</v>
      </c>
      <c r="W33" s="223">
        <f t="shared" ca="1" si="18"/>
        <v>0</v>
      </c>
      <c r="X33" s="223">
        <f t="shared" ca="1" si="18"/>
        <v>0</v>
      </c>
      <c r="Y33" s="223">
        <f t="shared" ca="1" si="18"/>
        <v>3.9184666601111289</v>
      </c>
      <c r="Z33" s="223">
        <f t="shared" ca="1" si="18"/>
        <v>22.614820078107126</v>
      </c>
      <c r="AA33" s="223">
        <f t="shared" ca="1" si="18"/>
        <v>23.214877187962102</v>
      </c>
      <c r="AB33" s="223">
        <f t="shared" ca="1" si="18"/>
        <v>23.819879056401401</v>
      </c>
      <c r="AC33" s="223">
        <f t="shared" ca="1" si="18"/>
        <v>24.429865187199493</v>
      </c>
      <c r="AD33" s="223">
        <f t="shared" ca="1" si="18"/>
        <v>25.044875392803466</v>
      </c>
      <c r="AE33" s="223">
        <f t="shared" ca="1" si="18"/>
        <v>25.664949796707045</v>
      </c>
      <c r="AF33" s="223">
        <f t="shared" ca="1" si="18"/>
        <v>26.290128835837915</v>
      </c>
      <c r="AG33" s="223">
        <f t="shared" ca="1" si="18"/>
        <v>26.920453262969126</v>
      </c>
      <c r="AH33" s="222">
        <f t="shared" ca="1" si="18"/>
        <v>27.555964149142149</v>
      </c>
      <c r="AI33" s="223">
        <f t="shared" ca="1" si="18"/>
        <v>27.201031321702391</v>
      </c>
      <c r="AJ33" s="223">
        <f t="shared" ca="1" si="18"/>
        <v>27.847039624412968</v>
      </c>
      <c r="AK33" s="223">
        <f t="shared" ca="1" si="18"/>
        <v>28.498359533457624</v>
      </c>
      <c r="AL33" s="223">
        <f t="shared" ca="1" si="18"/>
        <v>29.155033417596265</v>
      </c>
      <c r="AM33" s="223">
        <f t="shared" ca="1" si="18"/>
        <v>29.817103976269472</v>
      </c>
      <c r="AN33" s="223">
        <f t="shared" ca="1" si="18"/>
        <v>30.484614242140168</v>
      </c>
      <c r="AO33" s="223">
        <f t="shared" ca="1" si="18"/>
        <v>31.157607583648513</v>
      </c>
      <c r="AP33" s="223">
        <f t="shared" ca="1" si="18"/>
        <v>31.836127707593455</v>
      </c>
      <c r="AQ33" s="223">
        <f t="shared" ca="1" si="18"/>
        <v>32.520218661727696</v>
      </c>
      <c r="AR33" s="223">
        <f t="shared" ca="1" si="18"/>
        <v>33.209924837373919</v>
      </c>
      <c r="AS33" s="223">
        <f t="shared" ca="1" si="18"/>
        <v>33.905290972063383</v>
      </c>
      <c r="AT33" s="222">
        <f t="shared" ca="1" si="18"/>
        <v>34.606362152192546</v>
      </c>
      <c r="AU33" s="223">
        <f t="shared" ca="1" si="18"/>
        <v>34.293492303198093</v>
      </c>
      <c r="AV33" s="223">
        <f t="shared" ca="1" si="18"/>
        <v>35.00611024225622</v>
      </c>
      <c r="AW33" s="223">
        <f t="shared" ca="1" si="18"/>
        <v>35.724570605998657</v>
      </c>
      <c r="AX33" s="223">
        <f t="shared" ca="1" si="18"/>
        <v>36.448919903252133</v>
      </c>
      <c r="AY33" s="223">
        <f t="shared" ca="1" si="18"/>
        <v>37.179205005296133</v>
      </c>
      <c r="AZ33" s="223">
        <f t="shared" ca="1" si="18"/>
        <v>37.915473148643507</v>
      </c>
      <c r="BA33" s="223">
        <f t="shared" ca="1" si="18"/>
        <v>38.657771937841773</v>
      </c>
      <c r="BB33" s="223">
        <f t="shared" ca="1" si="18"/>
        <v>39.406149348292736</v>
      </c>
      <c r="BC33" s="223">
        <f t="shared" ca="1" si="18"/>
        <v>40.160653729099849</v>
      </c>
      <c r="BD33" s="223">
        <f t="shared" ca="1" si="18"/>
        <v>40.921333805929358</v>
      </c>
      <c r="BE33" s="223">
        <f t="shared" ca="1" si="18"/>
        <v>41.688238683900238</v>
      </c>
      <c r="BF33" s="222">
        <f t="shared" ca="1" si="18"/>
        <v>42.461417850490484</v>
      </c>
      <c r="BG33" s="223">
        <f t="shared" ca="1" si="18"/>
        <v>42.196585978785208</v>
      </c>
      <c r="BH33" s="223">
        <f t="shared" ca="1" si="18"/>
        <v>42.982463729162603</v>
      </c>
      <c r="BI33" s="223">
        <f t="shared" ca="1" si="18"/>
        <v>43.774766554169496</v>
      </c>
      <c r="BJ33" s="223">
        <f t="shared" ca="1" si="18"/>
        <v>44.573545500251278</v>
      </c>
      <c r="BK33" s="223">
        <f t="shared" ca="1" si="18"/>
        <v>45.378852011090508</v>
      </c>
      <c r="BL33" s="223">
        <f t="shared" ca="1" si="18"/>
        <v>46.190737930647622</v>
      </c>
      <c r="BM33" s="223">
        <f t="shared" ca="1" si="18"/>
        <v>56.009255506230595</v>
      </c>
      <c r="BN33" s="223">
        <f t="shared" ca="1" si="18"/>
        <v>47.834457391580976</v>
      </c>
      <c r="BO33" s="223">
        <f t="shared" ca="1" si="18"/>
        <v>48.666396649988158</v>
      </c>
      <c r="BP33" s="223">
        <f t="shared" ca="1" si="18"/>
        <v>96.505126757425913</v>
      </c>
      <c r="BQ33" s="223">
        <f t="shared" ca="1" si="18"/>
        <v>50.350701605712153</v>
      </c>
      <c r="BR33" s="222">
        <f t="shared" ca="1" si="18"/>
        <v>51.203175505693963</v>
      </c>
    </row>
    <row r="34" spans="1:70" s="14" customFormat="1" ht="13.2" x14ac:dyDescent="0.3">
      <c r="A34" s="5"/>
      <c r="B34" s="67"/>
      <c r="C34" s="181"/>
      <c r="E34" s="223"/>
      <c r="F34" s="223"/>
      <c r="G34" s="223"/>
      <c r="H34" s="223"/>
      <c r="I34" s="223"/>
      <c r="K34" s="223"/>
      <c r="L34" s="223"/>
      <c r="M34" s="223"/>
      <c r="N34" s="223"/>
      <c r="O34" s="223"/>
      <c r="P34" s="223"/>
      <c r="Q34" s="223"/>
      <c r="R34" s="223"/>
      <c r="S34" s="223"/>
      <c r="T34" s="223"/>
      <c r="U34" s="223"/>
      <c r="V34" s="223"/>
      <c r="W34" s="223"/>
      <c r="X34" s="223"/>
      <c r="Y34" s="223"/>
      <c r="Z34" s="223"/>
      <c r="AA34" s="223"/>
      <c r="AB34" s="223"/>
      <c r="AC34" s="223"/>
      <c r="AD34" s="223"/>
      <c r="AE34" s="223"/>
      <c r="AF34" s="223"/>
      <c r="AG34" s="223"/>
      <c r="AH34" s="223"/>
      <c r="AI34" s="223"/>
      <c r="AJ34" s="223"/>
      <c r="AK34" s="223"/>
      <c r="AL34" s="223"/>
      <c r="AM34" s="223"/>
      <c r="AN34" s="223"/>
      <c r="AO34" s="223"/>
      <c r="AP34" s="223"/>
      <c r="AQ34" s="223"/>
      <c r="AR34" s="223"/>
      <c r="AS34" s="223"/>
      <c r="AT34" s="223"/>
      <c r="AU34" s="223"/>
      <c r="AV34" s="223"/>
      <c r="AW34" s="223"/>
      <c r="AX34" s="223"/>
      <c r="AY34" s="223"/>
      <c r="AZ34" s="223"/>
      <c r="BA34" s="223"/>
      <c r="BB34" s="223"/>
      <c r="BC34" s="223"/>
      <c r="BD34" s="223"/>
      <c r="BE34" s="223"/>
      <c r="BF34" s="223"/>
      <c r="BG34" s="223"/>
      <c r="BH34" s="223"/>
      <c r="BI34" s="223"/>
      <c r="BJ34" s="223"/>
      <c r="BK34" s="223"/>
      <c r="BL34" s="223"/>
      <c r="BM34" s="223"/>
      <c r="BN34" s="223"/>
      <c r="BO34" s="223"/>
      <c r="BP34" s="223"/>
      <c r="BQ34" s="223"/>
      <c r="BR34" s="223"/>
    </row>
    <row r="35" spans="1:70" s="14" customFormat="1" ht="13.2" x14ac:dyDescent="0.3">
      <c r="A35" s="68"/>
      <c r="B35" s="233"/>
      <c r="C35" s="185" t="s">
        <v>191</v>
      </c>
      <c r="E35" s="211">
        <f>K35</f>
        <v>0</v>
      </c>
      <c r="F35" s="211">
        <f ca="1">Balance!E6</f>
        <v>300</v>
      </c>
      <c r="G35" s="211">
        <f ca="1">Balance!F6</f>
        <v>529.47427960724121</v>
      </c>
      <c r="H35" s="211">
        <f ca="1">Balance!G6</f>
        <v>899.7129936374198</v>
      </c>
      <c r="I35" s="211">
        <f ca="1">Balance!H6</f>
        <v>1359.5763302016192</v>
      </c>
      <c r="J35" s="16"/>
      <c r="K35" s="212"/>
      <c r="L35" s="213">
        <f ca="1">Balance!K6</f>
        <v>300</v>
      </c>
      <c r="M35" s="213">
        <f ca="1">Balance!L6</f>
        <v>300</v>
      </c>
      <c r="N35" s="213">
        <f ca="1">Balance!M6</f>
        <v>300</v>
      </c>
      <c r="O35" s="213">
        <f ca="1">Balance!N6</f>
        <v>300</v>
      </c>
      <c r="P35" s="213">
        <f ca="1">Balance!O6</f>
        <v>300</v>
      </c>
      <c r="Q35" s="213">
        <f ca="1">Balance!P6</f>
        <v>300</v>
      </c>
      <c r="R35" s="213">
        <f ca="1">Balance!Q6</f>
        <v>300</v>
      </c>
      <c r="S35" s="213">
        <f ca="1">Balance!R6</f>
        <v>300</v>
      </c>
      <c r="T35" s="213">
        <f ca="1">Balance!S6</f>
        <v>300</v>
      </c>
      <c r="U35" s="213">
        <f ca="1">Balance!T6</f>
        <v>300</v>
      </c>
      <c r="V35" s="211">
        <f ca="1">Balance!U6</f>
        <v>300</v>
      </c>
      <c r="W35" s="212">
        <f ca="1">Balance!V6</f>
        <v>300</v>
      </c>
      <c r="X35" s="213">
        <f ca="1">Balance!W6</f>
        <v>300</v>
      </c>
      <c r="Y35" s="213">
        <f ca="1">Balance!X6</f>
        <v>300</v>
      </c>
      <c r="Z35" s="213">
        <f ca="1">Balance!Y6</f>
        <v>303.91846666011122</v>
      </c>
      <c r="AA35" s="213">
        <f ca="1">Balance!Z6</f>
        <v>326.53328673821841</v>
      </c>
      <c r="AB35" s="213">
        <f ca="1">Balance!AA6</f>
        <v>349.74816392618061</v>
      </c>
      <c r="AC35" s="213">
        <f ca="1">Balance!AB6</f>
        <v>373.56804298258203</v>
      </c>
      <c r="AD35" s="213">
        <f ca="1">Balance!AC6</f>
        <v>397.99790816978151</v>
      </c>
      <c r="AE35" s="213">
        <f ca="1">Balance!AD6</f>
        <v>423.0427835625851</v>
      </c>
      <c r="AF35" s="213">
        <f ca="1">Balance!AE6</f>
        <v>448.70773335929204</v>
      </c>
      <c r="AG35" s="213">
        <f ca="1">Balance!AF6</f>
        <v>474.99786219513004</v>
      </c>
      <c r="AH35" s="211">
        <f ca="1">Balance!AG6</f>
        <v>501.91831545809902</v>
      </c>
      <c r="AI35" s="212">
        <f ca="1">Balance!AH6</f>
        <v>529.47427960724121</v>
      </c>
      <c r="AJ35" s="213">
        <f ca="1">Balance!AI6</f>
        <v>556.67531092894365</v>
      </c>
      <c r="AK35" s="213">
        <f ca="1">Balance!AJ6</f>
        <v>584.52235055335666</v>
      </c>
      <c r="AL35" s="213">
        <f ca="1">Balance!AK6</f>
        <v>613.02071008681446</v>
      </c>
      <c r="AM35" s="213">
        <f ca="1">Balance!AL6</f>
        <v>642.17574350441066</v>
      </c>
      <c r="AN35" s="213">
        <f ca="1">Balance!AM6</f>
        <v>671.99284748068033</v>
      </c>
      <c r="AO35" s="213">
        <f ca="1">Balance!AN6</f>
        <v>702.47746172282029</v>
      </c>
      <c r="AP35" s="213">
        <f ca="1">Balance!AO6</f>
        <v>733.63506930646884</v>
      </c>
      <c r="AQ35" s="213">
        <f ca="1">Balance!AP6</f>
        <v>765.47119701406234</v>
      </c>
      <c r="AR35" s="213">
        <f ca="1">Balance!AQ6</f>
        <v>797.99141567578999</v>
      </c>
      <c r="AS35" s="213">
        <f ca="1">Balance!AR6</f>
        <v>831.20134051316381</v>
      </c>
      <c r="AT35" s="211">
        <f ca="1">Balance!AS6</f>
        <v>865.10663148522724</v>
      </c>
      <c r="AU35" s="212">
        <f ca="1">Balance!AT6</f>
        <v>899.7129936374198</v>
      </c>
      <c r="AV35" s="213">
        <f ca="1">Balance!AU6</f>
        <v>934.00648594061784</v>
      </c>
      <c r="AW35" s="213">
        <f ca="1">Balance!AV6</f>
        <v>969.01259618287384</v>
      </c>
      <c r="AX35" s="213">
        <f ca="1">Balance!AW6</f>
        <v>1004.7371667888725</v>
      </c>
      <c r="AY35" s="213">
        <f ca="1">Balance!AX6</f>
        <v>1041.1860866921247</v>
      </c>
      <c r="AZ35" s="213">
        <f ca="1">Balance!AY6</f>
        <v>1078.3652916974211</v>
      </c>
      <c r="BA35" s="213">
        <f ca="1">Balance!AZ6</f>
        <v>1116.2807648460648</v>
      </c>
      <c r="BB35" s="213">
        <f ca="1">Balance!BA6</f>
        <v>1154.9385367839068</v>
      </c>
      <c r="BC35" s="213">
        <f ca="1">Balance!BB6</f>
        <v>1194.3446861321995</v>
      </c>
      <c r="BD35" s="213">
        <f ca="1">Balance!BC6</f>
        <v>1234.505339861299</v>
      </c>
      <c r="BE35" s="213">
        <f ca="1">Balance!BD6</f>
        <v>1275.4266736672284</v>
      </c>
      <c r="BF35" s="211">
        <f ca="1">Balance!BE6</f>
        <v>1317.1149123511286</v>
      </c>
      <c r="BG35" s="212">
        <f ca="1">Balance!BF6</f>
        <v>1359.5763302016192</v>
      </c>
      <c r="BH35" s="213">
        <f ca="1">Balance!BG6</f>
        <v>1401.7729161804043</v>
      </c>
      <c r="BI35" s="213">
        <f ca="1">Balance!BH6</f>
        <v>1444.7553799095672</v>
      </c>
      <c r="BJ35" s="213">
        <f ca="1">Balance!BI6</f>
        <v>1488.5301464637369</v>
      </c>
      <c r="BK35" s="213">
        <f ca="1">Balance!BJ6</f>
        <v>1533.1036919639882</v>
      </c>
      <c r="BL35" s="213">
        <f ca="1">Balance!BK6</f>
        <v>1578.4825439750789</v>
      </c>
      <c r="BM35" s="213">
        <f ca="1">Balance!BL6</f>
        <v>1624.6732819057268</v>
      </c>
      <c r="BN35" s="213">
        <f ca="1">Balance!BM6</f>
        <v>1680.6825374119576</v>
      </c>
      <c r="BO35" s="213">
        <f ca="1">Balance!BN6</f>
        <v>1728.5169948035386</v>
      </c>
      <c r="BP35" s="213">
        <f ca="1">Balance!BO6</f>
        <v>1777.1833914535264</v>
      </c>
      <c r="BQ35" s="213">
        <f ca="1">Balance!BP6</f>
        <v>1873.6885182109522</v>
      </c>
      <c r="BR35" s="211">
        <f ca="1">Balance!BQ6</f>
        <v>1924.0392198166646</v>
      </c>
    </row>
    <row r="36" spans="1:70" s="14" customFormat="1" ht="13.2" x14ac:dyDescent="0.3">
      <c r="A36" s="68"/>
      <c r="B36" s="233"/>
      <c r="C36" s="204" t="s">
        <v>192</v>
      </c>
      <c r="E36" s="234">
        <f ca="1">Balance!E6</f>
        <v>300</v>
      </c>
      <c r="F36" s="234">
        <f ca="1">Balance!F6</f>
        <v>529.47427960724121</v>
      </c>
      <c r="G36" s="234">
        <f ca="1">Balance!G6</f>
        <v>899.7129936374198</v>
      </c>
      <c r="H36" s="234">
        <f ca="1">Balance!H6</f>
        <v>1359.5763302016192</v>
      </c>
      <c r="I36" s="234">
        <f ca="1">Balance!I6</f>
        <v>1975.2423953223586</v>
      </c>
      <c r="J36" s="16"/>
      <c r="K36" s="226">
        <f ca="1">Balance!K6</f>
        <v>300</v>
      </c>
      <c r="L36" s="226">
        <f ca="1">Balance!L6</f>
        <v>300</v>
      </c>
      <c r="M36" s="226">
        <f ca="1">Balance!M6</f>
        <v>300</v>
      </c>
      <c r="N36" s="226">
        <f ca="1">Balance!N6</f>
        <v>300</v>
      </c>
      <c r="O36" s="226">
        <f ca="1">Balance!O6</f>
        <v>300</v>
      </c>
      <c r="P36" s="226">
        <f ca="1">Balance!P6</f>
        <v>300</v>
      </c>
      <c r="Q36" s="226">
        <f ca="1">Balance!Q6</f>
        <v>300</v>
      </c>
      <c r="R36" s="226">
        <f ca="1">Balance!R6</f>
        <v>300</v>
      </c>
      <c r="S36" s="226">
        <f ca="1">Balance!S6</f>
        <v>300</v>
      </c>
      <c r="T36" s="226">
        <f ca="1">Balance!T6</f>
        <v>300</v>
      </c>
      <c r="U36" s="226">
        <f ca="1">Balance!U6</f>
        <v>300</v>
      </c>
      <c r="V36" s="234">
        <f ca="1">Balance!V6</f>
        <v>300</v>
      </c>
      <c r="W36" s="226">
        <f ca="1">Balance!W6</f>
        <v>300</v>
      </c>
      <c r="X36" s="226">
        <f ca="1">Balance!X6</f>
        <v>300</v>
      </c>
      <c r="Y36" s="226">
        <f ca="1">Balance!Y6</f>
        <v>303.91846666011122</v>
      </c>
      <c r="Z36" s="226">
        <f ca="1">Balance!Z6</f>
        <v>326.53328673821841</v>
      </c>
      <c r="AA36" s="226">
        <f ca="1">Balance!AA6</f>
        <v>349.74816392618061</v>
      </c>
      <c r="AB36" s="226">
        <f ca="1">Balance!AB6</f>
        <v>373.56804298258203</v>
      </c>
      <c r="AC36" s="226">
        <f ca="1">Balance!AC6</f>
        <v>397.99790816978151</v>
      </c>
      <c r="AD36" s="226">
        <f ca="1">Balance!AD6</f>
        <v>423.0427835625851</v>
      </c>
      <c r="AE36" s="226">
        <f ca="1">Balance!AE6</f>
        <v>448.70773335929204</v>
      </c>
      <c r="AF36" s="226">
        <f ca="1">Balance!AF6</f>
        <v>474.99786219513004</v>
      </c>
      <c r="AG36" s="226">
        <f ca="1">Balance!AG6</f>
        <v>501.91831545809902</v>
      </c>
      <c r="AH36" s="234">
        <f ca="1">Balance!AH6</f>
        <v>529.47427960724121</v>
      </c>
      <c r="AI36" s="226">
        <f ca="1">Balance!AI6</f>
        <v>556.67531092894365</v>
      </c>
      <c r="AJ36" s="226">
        <f ca="1">Balance!AJ6</f>
        <v>584.52235055335666</v>
      </c>
      <c r="AK36" s="226">
        <f ca="1">Balance!AK6</f>
        <v>613.02071008681446</v>
      </c>
      <c r="AL36" s="226">
        <f ca="1">Balance!AL6</f>
        <v>642.17574350441066</v>
      </c>
      <c r="AM36" s="226">
        <f ca="1">Balance!AM6</f>
        <v>671.99284748068033</v>
      </c>
      <c r="AN36" s="226">
        <f ca="1">Balance!AN6</f>
        <v>702.47746172282029</v>
      </c>
      <c r="AO36" s="226">
        <f ca="1">Balance!AO6</f>
        <v>733.63506930646884</v>
      </c>
      <c r="AP36" s="226">
        <f ca="1">Balance!AP6</f>
        <v>765.47119701406234</v>
      </c>
      <c r="AQ36" s="226">
        <f ca="1">Balance!AQ6</f>
        <v>797.99141567578999</v>
      </c>
      <c r="AR36" s="226">
        <f ca="1">Balance!AR6</f>
        <v>831.20134051316381</v>
      </c>
      <c r="AS36" s="226">
        <f ca="1">Balance!AS6</f>
        <v>865.10663148522724</v>
      </c>
      <c r="AT36" s="234">
        <f ca="1">Balance!AT6</f>
        <v>899.7129936374198</v>
      </c>
      <c r="AU36" s="226">
        <f ca="1">Balance!AU6</f>
        <v>934.00648594061784</v>
      </c>
      <c r="AV36" s="226">
        <f ca="1">Balance!AV6</f>
        <v>969.01259618287384</v>
      </c>
      <c r="AW36" s="226">
        <f ca="1">Balance!AW6</f>
        <v>1004.7371667888725</v>
      </c>
      <c r="AX36" s="226">
        <f ca="1">Balance!AX6</f>
        <v>1041.1860866921247</v>
      </c>
      <c r="AY36" s="226">
        <f ca="1">Balance!AY6</f>
        <v>1078.3652916974211</v>
      </c>
      <c r="AZ36" s="226">
        <f ca="1">Balance!AZ6</f>
        <v>1116.2807648460648</v>
      </c>
      <c r="BA36" s="226">
        <f ca="1">Balance!BA6</f>
        <v>1154.9385367839068</v>
      </c>
      <c r="BB36" s="226">
        <f ca="1">Balance!BB6</f>
        <v>1194.3446861321995</v>
      </c>
      <c r="BC36" s="226">
        <f ca="1">Balance!BC6</f>
        <v>1234.505339861299</v>
      </c>
      <c r="BD36" s="226">
        <f ca="1">Balance!BD6</f>
        <v>1275.4266736672284</v>
      </c>
      <c r="BE36" s="226">
        <f ca="1">Balance!BE6</f>
        <v>1317.1149123511286</v>
      </c>
      <c r="BF36" s="234">
        <f ca="1">Balance!BF6</f>
        <v>1359.5763302016192</v>
      </c>
      <c r="BG36" s="226">
        <f ca="1">Balance!BG6</f>
        <v>1401.7729161804043</v>
      </c>
      <c r="BH36" s="226">
        <f ca="1">Balance!BH6</f>
        <v>1444.7553799095672</v>
      </c>
      <c r="BI36" s="226">
        <f ca="1">Balance!BI6</f>
        <v>1488.5301464637369</v>
      </c>
      <c r="BJ36" s="226">
        <f ca="1">Balance!BJ6</f>
        <v>1533.1036919639882</v>
      </c>
      <c r="BK36" s="226">
        <f ca="1">Balance!BK6</f>
        <v>1578.4825439750789</v>
      </c>
      <c r="BL36" s="226">
        <f ca="1">Balance!BL6</f>
        <v>1624.6732819057268</v>
      </c>
      <c r="BM36" s="226">
        <f ca="1">Balance!BM6</f>
        <v>1680.6825374119576</v>
      </c>
      <c r="BN36" s="226">
        <f ca="1">Balance!BN6</f>
        <v>1728.5169948035386</v>
      </c>
      <c r="BO36" s="226">
        <f ca="1">Balance!BO6</f>
        <v>1777.1833914535264</v>
      </c>
      <c r="BP36" s="226">
        <f ca="1">Balance!BP6</f>
        <v>1873.6885182109522</v>
      </c>
      <c r="BQ36" s="226">
        <f ca="1">Balance!BQ6</f>
        <v>1924.0392198166646</v>
      </c>
      <c r="BR36" s="234">
        <f ca="1">Balance!BR6</f>
        <v>1975.2423953223586</v>
      </c>
    </row>
    <row r="37" spans="1:70" s="197" customFormat="1" ht="13.2" x14ac:dyDescent="0.3">
      <c r="A37" s="5"/>
      <c r="C37" s="221" t="s">
        <v>193</v>
      </c>
      <c r="D37" s="199"/>
      <c r="E37" s="222">
        <f ca="1">E36-E35</f>
        <v>300</v>
      </c>
      <c r="F37" s="222">
        <f ca="1">F36-F35</f>
        <v>229.47427960724121</v>
      </c>
      <c r="G37" s="222">
        <f ca="1">G36-G35</f>
        <v>370.23871403017858</v>
      </c>
      <c r="H37" s="222">
        <f ca="1">H36-H35</f>
        <v>459.86333656419936</v>
      </c>
      <c r="I37" s="222">
        <f ca="1">I36-I35</f>
        <v>615.6660651207394</v>
      </c>
      <c r="J37" s="199"/>
      <c r="K37" s="223">
        <f ca="1">K36-K35</f>
        <v>300</v>
      </c>
      <c r="L37" s="223">
        <f t="shared" ref="L37:BR37" ca="1" si="19">L36-L35</f>
        <v>0</v>
      </c>
      <c r="M37" s="223">
        <f t="shared" ca="1" si="19"/>
        <v>0</v>
      </c>
      <c r="N37" s="223">
        <f t="shared" ca="1" si="19"/>
        <v>0</v>
      </c>
      <c r="O37" s="223">
        <f t="shared" ca="1" si="19"/>
        <v>0</v>
      </c>
      <c r="P37" s="223">
        <f ca="1">P36-P35</f>
        <v>0</v>
      </c>
      <c r="Q37" s="223">
        <f t="shared" ca="1" si="19"/>
        <v>0</v>
      </c>
      <c r="R37" s="223">
        <f t="shared" ca="1" si="19"/>
        <v>0</v>
      </c>
      <c r="S37" s="223">
        <f t="shared" ca="1" si="19"/>
        <v>0</v>
      </c>
      <c r="T37" s="223">
        <f t="shared" ca="1" si="19"/>
        <v>0</v>
      </c>
      <c r="U37" s="223">
        <f ca="1">U36-U35</f>
        <v>0</v>
      </c>
      <c r="V37" s="222">
        <f ca="1">V36-V35</f>
        <v>0</v>
      </c>
      <c r="W37" s="223">
        <f ca="1">W36-W35</f>
        <v>0</v>
      </c>
      <c r="X37" s="223">
        <f t="shared" ca="1" si="19"/>
        <v>0</v>
      </c>
      <c r="Y37" s="223">
        <f t="shared" ca="1" si="19"/>
        <v>3.9184666601112212</v>
      </c>
      <c r="Z37" s="223">
        <f t="shared" ca="1" si="19"/>
        <v>22.614820078107186</v>
      </c>
      <c r="AA37" s="223">
        <f t="shared" ca="1" si="19"/>
        <v>23.214877187962202</v>
      </c>
      <c r="AB37" s="223">
        <f t="shared" ca="1" si="19"/>
        <v>23.819879056401419</v>
      </c>
      <c r="AC37" s="223">
        <f t="shared" ca="1" si="19"/>
        <v>24.429865187199482</v>
      </c>
      <c r="AD37" s="223">
        <f t="shared" ca="1" si="19"/>
        <v>25.04487539280359</v>
      </c>
      <c r="AE37" s="223">
        <f t="shared" ca="1" si="19"/>
        <v>25.664949796706935</v>
      </c>
      <c r="AF37" s="223">
        <f t="shared" ca="1" si="19"/>
        <v>26.290128835838004</v>
      </c>
      <c r="AG37" s="223">
        <f t="shared" ca="1" si="19"/>
        <v>26.920453262968977</v>
      </c>
      <c r="AH37" s="222">
        <f t="shared" ca="1" si="19"/>
        <v>27.555964149142198</v>
      </c>
      <c r="AI37" s="223">
        <f t="shared" ca="1" si="19"/>
        <v>27.20103132170243</v>
      </c>
      <c r="AJ37" s="223">
        <f t="shared" ca="1" si="19"/>
        <v>27.847039624413014</v>
      </c>
      <c r="AK37" s="223">
        <f t="shared" ca="1" si="19"/>
        <v>28.498359533457801</v>
      </c>
      <c r="AL37" s="223">
        <f t="shared" ca="1" si="19"/>
        <v>29.155033417596201</v>
      </c>
      <c r="AM37" s="223">
        <f t="shared" ca="1" si="19"/>
        <v>29.817103976269664</v>
      </c>
      <c r="AN37" s="223">
        <f t="shared" ca="1" si="19"/>
        <v>30.484614242139969</v>
      </c>
      <c r="AO37" s="223">
        <f t="shared" ca="1" si="19"/>
        <v>31.157607583648542</v>
      </c>
      <c r="AP37" s="223">
        <f t="shared" ca="1" si="19"/>
        <v>31.836127707593505</v>
      </c>
      <c r="AQ37" s="223">
        <f t="shared" ca="1" si="19"/>
        <v>32.520218661727654</v>
      </c>
      <c r="AR37" s="223">
        <f t="shared" ca="1" si="19"/>
        <v>33.209924837373819</v>
      </c>
      <c r="AS37" s="223">
        <f t="shared" ca="1" si="19"/>
        <v>33.905290972063426</v>
      </c>
      <c r="AT37" s="222">
        <f ca="1">AT36-AT35</f>
        <v>34.60636215219256</v>
      </c>
      <c r="AU37" s="223">
        <f t="shared" ca="1" si="19"/>
        <v>34.293492303198036</v>
      </c>
      <c r="AV37" s="223">
        <f t="shared" ca="1" si="19"/>
        <v>35.006110242256</v>
      </c>
      <c r="AW37" s="223">
        <f t="shared" ca="1" si="19"/>
        <v>35.724570605998679</v>
      </c>
      <c r="AX37" s="223">
        <f t="shared" ca="1" si="19"/>
        <v>36.448919903252204</v>
      </c>
      <c r="AY37" s="223">
        <f t="shared" ca="1" si="19"/>
        <v>37.179205005296353</v>
      </c>
      <c r="AZ37" s="223">
        <f t="shared" ca="1" si="19"/>
        <v>37.915473148643741</v>
      </c>
      <c r="BA37" s="223">
        <f t="shared" ca="1" si="19"/>
        <v>38.657771937841972</v>
      </c>
      <c r="BB37" s="223">
        <f t="shared" ca="1" si="19"/>
        <v>39.406149348292729</v>
      </c>
      <c r="BC37" s="223">
        <f t="shared" ca="1" si="19"/>
        <v>40.160653729099522</v>
      </c>
      <c r="BD37" s="223">
        <f t="shared" ca="1" si="19"/>
        <v>40.921333805929407</v>
      </c>
      <c r="BE37" s="223">
        <f t="shared" ca="1" si="19"/>
        <v>41.688238683900181</v>
      </c>
      <c r="BF37" s="222">
        <f t="shared" ca="1" si="19"/>
        <v>42.461417850490534</v>
      </c>
      <c r="BG37" s="223">
        <f t="shared" ca="1" si="19"/>
        <v>42.196585978785151</v>
      </c>
      <c r="BH37" s="223">
        <f t="shared" ca="1" si="19"/>
        <v>42.982463729162873</v>
      </c>
      <c r="BI37" s="223">
        <f t="shared" ca="1" si="19"/>
        <v>43.774766554169673</v>
      </c>
      <c r="BJ37" s="223">
        <f t="shared" ca="1" si="19"/>
        <v>44.573545500251385</v>
      </c>
      <c r="BK37" s="223">
        <f t="shared" ca="1" si="19"/>
        <v>45.378852011090657</v>
      </c>
      <c r="BL37" s="223">
        <f t="shared" ca="1" si="19"/>
        <v>46.190737930647856</v>
      </c>
      <c r="BM37" s="223">
        <f t="shared" ca="1" si="19"/>
        <v>56.009255506230829</v>
      </c>
      <c r="BN37" s="223">
        <f t="shared" ca="1" si="19"/>
        <v>47.834457391581054</v>
      </c>
      <c r="BO37" s="223">
        <f t="shared" ca="1" si="19"/>
        <v>48.666396649987746</v>
      </c>
      <c r="BP37" s="223">
        <f t="shared" ca="1" si="19"/>
        <v>96.505126757425842</v>
      </c>
      <c r="BQ37" s="223">
        <f t="shared" ca="1" si="19"/>
        <v>50.350701605712402</v>
      </c>
      <c r="BR37" s="222">
        <f t="shared" ca="1" si="19"/>
        <v>51.203175505693935</v>
      </c>
    </row>
    <row r="38" spans="1:70" s="14" customFormat="1" x14ac:dyDescent="0.25">
      <c r="A38" s="5"/>
      <c r="B38" s="67"/>
      <c r="C38" s="181"/>
      <c r="E38" s="175"/>
      <c r="F38" s="175"/>
      <c r="G38" s="175"/>
      <c r="H38" s="175"/>
      <c r="I38" s="175"/>
      <c r="V38" s="175"/>
      <c r="AH38" s="175"/>
      <c r="AT38" s="175"/>
      <c r="BF38" s="175"/>
      <c r="BR38" s="175"/>
    </row>
    <row r="39" spans="1:70" s="238" customFormat="1" ht="12" x14ac:dyDescent="0.25">
      <c r="A39" s="5"/>
      <c r="B39" s="67"/>
      <c r="C39" s="235" t="s">
        <v>194</v>
      </c>
      <c r="D39" s="236"/>
      <c r="E39" s="237" t="str">
        <f t="shared" ref="E39:I39" ca="1" si="20">IF(ABS(E33-E37)&lt;0.0001,"✔","✕")</f>
        <v>✔</v>
      </c>
      <c r="F39" s="237" t="str">
        <f t="shared" ca="1" si="20"/>
        <v>✔</v>
      </c>
      <c r="G39" s="237" t="str">
        <f t="shared" ca="1" si="20"/>
        <v>✔</v>
      </c>
      <c r="H39" s="237" t="str">
        <f t="shared" ca="1" si="20"/>
        <v>✔</v>
      </c>
      <c r="I39" s="237" t="str">
        <f t="shared" ca="1" si="20"/>
        <v>✔</v>
      </c>
      <c r="J39" s="235"/>
      <c r="K39" s="236" t="str">
        <f t="shared" ref="K39" ca="1" si="21">IF(ROUND(K33-K37,10)=0,"ü","û")</f>
        <v>ü</v>
      </c>
      <c r="L39" s="237" t="str">
        <f ca="1">IF(ABS(L33-L37)&lt;0.0001,"✔","✕")</f>
        <v>✔</v>
      </c>
      <c r="M39" s="237" t="str">
        <f t="shared" ref="M39:BR39" ca="1" si="22">IF(ABS(M33-M37)&lt;0.0001,"✔","✕")</f>
        <v>✔</v>
      </c>
      <c r="N39" s="237" t="str">
        <f t="shared" ca="1" si="22"/>
        <v>✔</v>
      </c>
      <c r="O39" s="237" t="str">
        <f t="shared" ca="1" si="22"/>
        <v>✔</v>
      </c>
      <c r="P39" s="237" t="str">
        <f t="shared" ca="1" si="22"/>
        <v>✔</v>
      </c>
      <c r="Q39" s="237" t="str">
        <f t="shared" ca="1" si="22"/>
        <v>✔</v>
      </c>
      <c r="R39" s="237" t="str">
        <f t="shared" ca="1" si="22"/>
        <v>✔</v>
      </c>
      <c r="S39" s="237" t="str">
        <f t="shared" ca="1" si="22"/>
        <v>✔</v>
      </c>
      <c r="T39" s="237" t="str">
        <f t="shared" ca="1" si="22"/>
        <v>✔</v>
      </c>
      <c r="U39" s="237" t="str">
        <f t="shared" ca="1" si="22"/>
        <v>✔</v>
      </c>
      <c r="V39" s="237" t="str">
        <f t="shared" ca="1" si="22"/>
        <v>✔</v>
      </c>
      <c r="W39" s="237" t="str">
        <f t="shared" ca="1" si="22"/>
        <v>✔</v>
      </c>
      <c r="X39" s="237" t="str">
        <f t="shared" ca="1" si="22"/>
        <v>✔</v>
      </c>
      <c r="Y39" s="237" t="str">
        <f t="shared" ca="1" si="22"/>
        <v>✔</v>
      </c>
      <c r="Z39" s="237" t="str">
        <f t="shared" ca="1" si="22"/>
        <v>✔</v>
      </c>
      <c r="AA39" s="237" t="str">
        <f t="shared" ca="1" si="22"/>
        <v>✔</v>
      </c>
      <c r="AB39" s="237" t="str">
        <f t="shared" ca="1" si="22"/>
        <v>✔</v>
      </c>
      <c r="AC39" s="237" t="str">
        <f t="shared" ca="1" si="22"/>
        <v>✔</v>
      </c>
      <c r="AD39" s="237" t="str">
        <f t="shared" ca="1" si="22"/>
        <v>✔</v>
      </c>
      <c r="AE39" s="237" t="str">
        <f t="shared" ca="1" si="22"/>
        <v>✔</v>
      </c>
      <c r="AF39" s="237" t="str">
        <f t="shared" ca="1" si="22"/>
        <v>✔</v>
      </c>
      <c r="AG39" s="237" t="str">
        <f t="shared" ca="1" si="22"/>
        <v>✔</v>
      </c>
      <c r="AH39" s="237" t="str">
        <f t="shared" ca="1" si="22"/>
        <v>✔</v>
      </c>
      <c r="AI39" s="237" t="str">
        <f t="shared" ca="1" si="22"/>
        <v>✔</v>
      </c>
      <c r="AJ39" s="237" t="str">
        <f t="shared" ca="1" si="22"/>
        <v>✔</v>
      </c>
      <c r="AK39" s="237" t="str">
        <f t="shared" ca="1" si="22"/>
        <v>✔</v>
      </c>
      <c r="AL39" s="237" t="str">
        <f t="shared" ca="1" si="22"/>
        <v>✔</v>
      </c>
      <c r="AM39" s="237" t="str">
        <f t="shared" ca="1" si="22"/>
        <v>✔</v>
      </c>
      <c r="AN39" s="237" t="str">
        <f t="shared" ca="1" si="22"/>
        <v>✔</v>
      </c>
      <c r="AO39" s="237" t="str">
        <f t="shared" ca="1" si="22"/>
        <v>✔</v>
      </c>
      <c r="AP39" s="237" t="str">
        <f t="shared" ca="1" si="22"/>
        <v>✔</v>
      </c>
      <c r="AQ39" s="237" t="str">
        <f t="shared" ca="1" si="22"/>
        <v>✔</v>
      </c>
      <c r="AR39" s="237" t="str">
        <f t="shared" ca="1" si="22"/>
        <v>✔</v>
      </c>
      <c r="AS39" s="237" t="str">
        <f t="shared" ca="1" si="22"/>
        <v>✔</v>
      </c>
      <c r="AT39" s="237" t="str">
        <f t="shared" ca="1" si="22"/>
        <v>✔</v>
      </c>
      <c r="AU39" s="237" t="str">
        <f t="shared" ca="1" si="22"/>
        <v>✔</v>
      </c>
      <c r="AV39" s="237" t="str">
        <f t="shared" ca="1" si="22"/>
        <v>✔</v>
      </c>
      <c r="AW39" s="237" t="str">
        <f t="shared" ca="1" si="22"/>
        <v>✔</v>
      </c>
      <c r="AX39" s="237" t="str">
        <f t="shared" ca="1" si="22"/>
        <v>✔</v>
      </c>
      <c r="AY39" s="237" t="str">
        <f t="shared" ca="1" si="22"/>
        <v>✔</v>
      </c>
      <c r="AZ39" s="237" t="str">
        <f t="shared" ca="1" si="22"/>
        <v>✔</v>
      </c>
      <c r="BA39" s="237" t="str">
        <f t="shared" ca="1" si="22"/>
        <v>✔</v>
      </c>
      <c r="BB39" s="237" t="str">
        <f t="shared" ca="1" si="22"/>
        <v>✔</v>
      </c>
      <c r="BC39" s="237" t="str">
        <f t="shared" ca="1" si="22"/>
        <v>✔</v>
      </c>
      <c r="BD39" s="237" t="str">
        <f t="shared" ca="1" si="22"/>
        <v>✔</v>
      </c>
      <c r="BE39" s="237" t="str">
        <f t="shared" ca="1" si="22"/>
        <v>✔</v>
      </c>
      <c r="BF39" s="237" t="str">
        <f t="shared" ca="1" si="22"/>
        <v>✔</v>
      </c>
      <c r="BG39" s="237" t="str">
        <f t="shared" ca="1" si="22"/>
        <v>✔</v>
      </c>
      <c r="BH39" s="237" t="str">
        <f t="shared" ca="1" si="22"/>
        <v>✔</v>
      </c>
      <c r="BI39" s="237" t="str">
        <f t="shared" ca="1" si="22"/>
        <v>✔</v>
      </c>
      <c r="BJ39" s="237" t="str">
        <f t="shared" ca="1" si="22"/>
        <v>✔</v>
      </c>
      <c r="BK39" s="237" t="str">
        <f t="shared" ca="1" si="22"/>
        <v>✔</v>
      </c>
      <c r="BL39" s="237" t="str">
        <f t="shared" ca="1" si="22"/>
        <v>✔</v>
      </c>
      <c r="BM39" s="237" t="str">
        <f t="shared" ca="1" si="22"/>
        <v>✔</v>
      </c>
      <c r="BN39" s="237" t="str">
        <f t="shared" ca="1" si="22"/>
        <v>✔</v>
      </c>
      <c r="BO39" s="237" t="str">
        <f t="shared" ca="1" si="22"/>
        <v>✔</v>
      </c>
      <c r="BP39" s="237" t="str">
        <f t="shared" ca="1" si="22"/>
        <v>✔</v>
      </c>
      <c r="BQ39" s="237" t="str">
        <f t="shared" ca="1" si="22"/>
        <v>✔</v>
      </c>
      <c r="BR39" s="237" t="str">
        <f t="shared" ca="1" si="22"/>
        <v>✔</v>
      </c>
    </row>
  </sheetData>
  <sheetProtection algorithmName="SHA-512" hashValue="DVP33lgv2sOoo9qNfsLV8jshHp7oBs56Kfi4qiackVHJ6RJhiTD3bOjdqWdCSw1ETqJgoH36aL6JoVwbUzlzvg==" saltValue="3xwxNF2ANqjRPMA0DLU5vw==" spinCount="100000" sheet="1" objects="1" scenarios="1" selectLockedCells="1" selectUnlockedCells="1"/>
  <mergeCells count="1">
    <mergeCell ref="C3:C4"/>
  </mergeCells>
  <conditionalFormatting sqref="E39:I39">
    <cfRule type="expression" dxfId="12" priority="1">
      <formula>IF(E39="✕",TRUE,FALSE)</formula>
    </cfRule>
    <cfRule type="expression" dxfId="11" priority="2">
      <formula>IF(E39="û",TRUE,FALSE)</formula>
    </cfRule>
  </conditionalFormatting>
  <conditionalFormatting sqref="L39:BR39">
    <cfRule type="expression" dxfId="10" priority="3">
      <formula>IF(L39="✕",TRUE,FALSE)</formula>
    </cfRule>
  </conditionalFormatting>
  <conditionalFormatting sqref="M39:BR39 K39">
    <cfRule type="expression" dxfId="9" priority="4">
      <formula>IF(K39="û",TRUE,FALSE)</formula>
    </cfRule>
  </conditionalFormatting>
  <pageMargins left="0.7" right="0.7" top="0.75" bottom="0.75" header="0.3" footer="0.3"/>
  <pageSetup orientation="portrait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85A39-82C7-4E17-BF7D-0B685830A543}">
  <sheetPr codeName="Sheet8">
    <tabColor theme="4" tint="0.79998168889431442"/>
    <outlinePr showOutlineSymbols="0"/>
  </sheetPr>
  <dimension ref="A1:BX33"/>
  <sheetViews>
    <sheetView showGridLines="0" showRowColHeaders="0" showZeros="0" showOutlineSymbols="0" workbookViewId="0">
      <pane xSplit="3" ySplit="4" topLeftCell="D5" activePane="bottomRight" state="frozen"/>
      <selection activeCell="I17" sqref="I17"/>
      <selection pane="topRight" activeCell="I17" sqref="I17"/>
      <selection pane="bottomLeft" activeCell="I17" sqref="I17"/>
      <selection pane="bottomRight"/>
    </sheetView>
  </sheetViews>
  <sheetFormatPr defaultColWidth="9.109375" defaultRowHeight="12.6" x14ac:dyDescent="0.25"/>
  <cols>
    <col min="1" max="1" width="3" style="5" customWidth="1"/>
    <col min="2" max="2" width="1.6640625" style="5" customWidth="1"/>
    <col min="3" max="3" width="22" style="14" customWidth="1"/>
    <col min="4" max="4" width="1.109375" style="16" customWidth="1"/>
    <col min="5" max="5" width="4.44140625" style="16" customWidth="1"/>
    <col min="6" max="6" width="3.88671875" style="16" customWidth="1"/>
    <col min="7" max="7" width="4.44140625" style="16" customWidth="1"/>
    <col min="8" max="8" width="3.88671875" style="16" customWidth="1"/>
    <col min="9" max="9" width="4.44140625" style="16" customWidth="1"/>
    <col min="10" max="10" width="3.88671875" style="16" customWidth="1"/>
    <col min="11" max="11" width="4.44140625" style="16" customWidth="1"/>
    <col min="12" max="12" width="3.88671875" style="16" customWidth="1"/>
    <col min="13" max="13" width="4.44140625" style="16" customWidth="1"/>
    <col min="14" max="14" width="3.88671875" style="16" customWidth="1"/>
    <col min="15" max="15" width="2.21875" style="34" customWidth="1"/>
    <col min="16" max="16" width="8.33203125" style="16" customWidth="1"/>
    <col min="17" max="17" width="8.33203125" style="34" customWidth="1"/>
    <col min="18" max="28" width="8.33203125" style="16" customWidth="1"/>
    <col min="29" max="29" width="8.33203125" style="34" customWidth="1"/>
    <col min="30" max="40" width="8.33203125" style="16" customWidth="1"/>
    <col min="41" max="41" width="8.33203125" style="34" customWidth="1"/>
    <col min="42" max="52" width="8.33203125" style="16" customWidth="1"/>
    <col min="53" max="53" width="8.33203125" style="34" customWidth="1"/>
    <col min="54" max="60" width="8.33203125" style="16" customWidth="1"/>
    <col min="61" max="75" width="8.33203125" style="14" customWidth="1"/>
    <col min="76" max="16384" width="9.109375" style="14"/>
  </cols>
  <sheetData>
    <row r="1" spans="1:76" s="2" customFormat="1" ht="10.199999999999999" x14ac:dyDescent="0.2">
      <c r="A1" s="1" t="s">
        <v>0</v>
      </c>
      <c r="N1" s="3"/>
      <c r="P1" s="4"/>
    </row>
    <row r="2" spans="1:76" s="13" customFormat="1" ht="10.199999999999999" x14ac:dyDescent="0.2">
      <c r="A2" s="5"/>
      <c r="B2" s="5"/>
      <c r="C2" s="5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5"/>
      <c r="P2" s="37"/>
      <c r="Q2" s="5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5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5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5"/>
      <c r="BB2" s="37"/>
      <c r="BC2" s="37"/>
      <c r="BD2" s="37"/>
      <c r="BE2" s="37"/>
      <c r="BF2" s="37"/>
      <c r="BG2" s="37"/>
      <c r="BH2" s="37"/>
    </row>
    <row r="3" spans="1:76" s="13" customFormat="1" ht="21" customHeight="1" x14ac:dyDescent="0.2">
      <c r="A3" s="5"/>
      <c r="B3" s="5"/>
      <c r="C3" s="579" t="s">
        <v>77</v>
      </c>
      <c r="D3" s="37"/>
      <c r="E3" s="5"/>
      <c r="F3" s="5"/>
      <c r="G3" s="5"/>
      <c r="H3" s="37"/>
      <c r="I3" s="37"/>
      <c r="J3" s="37"/>
      <c r="K3" s="37"/>
      <c r="L3" s="37"/>
      <c r="M3" s="37"/>
      <c r="N3" s="37"/>
      <c r="O3" s="5"/>
      <c r="P3" s="37"/>
      <c r="Q3" s="5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5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5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5"/>
      <c r="BB3" s="37"/>
      <c r="BC3" s="37"/>
      <c r="BD3" s="37"/>
      <c r="BE3" s="37"/>
      <c r="BF3" s="37"/>
      <c r="BG3" s="37"/>
      <c r="BH3" s="37"/>
    </row>
    <row r="4" spans="1:76" s="41" customFormat="1" ht="13.8" x14ac:dyDescent="0.3">
      <c r="A4" s="40"/>
      <c r="C4" s="579"/>
      <c r="D4" s="171"/>
      <c r="E4" s="598">
        <v>1</v>
      </c>
      <c r="F4" s="598"/>
      <c r="G4" s="598">
        <v>2</v>
      </c>
      <c r="H4" s="598"/>
      <c r="I4" s="598">
        <v>3</v>
      </c>
      <c r="J4" s="598"/>
      <c r="K4" s="598">
        <v>4</v>
      </c>
      <c r="L4" s="598"/>
      <c r="M4" s="598">
        <v>5</v>
      </c>
      <c r="N4" s="598"/>
      <c r="P4" s="10">
        <v>1</v>
      </c>
      <c r="Q4" s="10">
        <v>2</v>
      </c>
      <c r="R4" s="10">
        <v>3</v>
      </c>
      <c r="S4" s="10">
        <v>4</v>
      </c>
      <c r="T4" s="10">
        <v>5</v>
      </c>
      <c r="U4" s="10">
        <v>6</v>
      </c>
      <c r="V4" s="10">
        <v>7</v>
      </c>
      <c r="W4" s="10">
        <v>8</v>
      </c>
      <c r="X4" s="10">
        <v>9</v>
      </c>
      <c r="Y4" s="10">
        <v>10</v>
      </c>
      <c r="Z4" s="10">
        <v>11</v>
      </c>
      <c r="AA4" s="173">
        <v>12</v>
      </c>
      <c r="AB4" s="10">
        <v>13</v>
      </c>
      <c r="AC4" s="10">
        <v>14</v>
      </c>
      <c r="AD4" s="10">
        <v>15</v>
      </c>
      <c r="AE4" s="10">
        <v>16</v>
      </c>
      <c r="AF4" s="10">
        <v>17</v>
      </c>
      <c r="AG4" s="10">
        <v>18</v>
      </c>
      <c r="AH4" s="10">
        <v>19</v>
      </c>
      <c r="AI4" s="10">
        <v>20</v>
      </c>
      <c r="AJ4" s="10">
        <v>21</v>
      </c>
      <c r="AK4" s="10">
        <v>22</v>
      </c>
      <c r="AL4" s="10">
        <v>23</v>
      </c>
      <c r="AM4" s="173">
        <v>24</v>
      </c>
      <c r="AN4" s="10">
        <v>25</v>
      </c>
      <c r="AO4" s="10">
        <v>26</v>
      </c>
      <c r="AP4" s="10">
        <v>27</v>
      </c>
      <c r="AQ4" s="10">
        <v>28</v>
      </c>
      <c r="AR4" s="10">
        <v>29</v>
      </c>
      <c r="AS4" s="10">
        <v>30</v>
      </c>
      <c r="AT4" s="10">
        <v>31</v>
      </c>
      <c r="AU4" s="10">
        <v>32</v>
      </c>
      <c r="AV4" s="10">
        <v>33</v>
      </c>
      <c r="AW4" s="10">
        <v>34</v>
      </c>
      <c r="AX4" s="10">
        <v>35</v>
      </c>
      <c r="AY4" s="173">
        <v>36</v>
      </c>
      <c r="AZ4" s="10">
        <v>37</v>
      </c>
      <c r="BA4" s="10">
        <v>38</v>
      </c>
      <c r="BB4" s="10">
        <v>39</v>
      </c>
      <c r="BC4" s="10">
        <v>40</v>
      </c>
      <c r="BD4" s="10">
        <v>41</v>
      </c>
      <c r="BE4" s="10">
        <v>42</v>
      </c>
      <c r="BF4" s="10">
        <v>43</v>
      </c>
      <c r="BG4" s="10">
        <v>44</v>
      </c>
      <c r="BH4" s="10">
        <v>45</v>
      </c>
      <c r="BI4" s="10">
        <v>46</v>
      </c>
      <c r="BJ4" s="10">
        <v>47</v>
      </c>
      <c r="BK4" s="173">
        <v>48</v>
      </c>
      <c r="BL4" s="10">
        <v>49</v>
      </c>
      <c r="BM4" s="10">
        <v>50</v>
      </c>
      <c r="BN4" s="10">
        <v>51</v>
      </c>
      <c r="BO4" s="10">
        <v>52</v>
      </c>
      <c r="BP4" s="10">
        <v>53</v>
      </c>
      <c r="BQ4" s="10">
        <v>54</v>
      </c>
      <c r="BR4" s="10">
        <v>55</v>
      </c>
      <c r="BS4" s="10">
        <v>56</v>
      </c>
      <c r="BT4" s="10">
        <v>57</v>
      </c>
      <c r="BU4" s="10">
        <v>58</v>
      </c>
      <c r="BV4" s="10">
        <v>59</v>
      </c>
      <c r="BW4" s="173">
        <v>60</v>
      </c>
      <c r="BX4" s="44"/>
    </row>
    <row r="5" spans="1:76" ht="6" customHeight="1" x14ac:dyDescent="0.25">
      <c r="A5" s="13"/>
      <c r="B5" s="201"/>
      <c r="D5" s="14"/>
      <c r="E5" s="174"/>
      <c r="F5" s="174"/>
      <c r="G5" s="174"/>
      <c r="H5" s="174"/>
      <c r="I5" s="174"/>
      <c r="J5" s="210"/>
      <c r="O5" s="16"/>
      <c r="Q5" s="16"/>
      <c r="V5" s="174"/>
      <c r="AC5" s="16"/>
      <c r="AH5" s="174"/>
      <c r="AO5" s="16"/>
      <c r="AT5" s="174"/>
      <c r="BA5" s="16"/>
      <c r="BF5" s="174"/>
      <c r="BI5" s="16"/>
      <c r="BJ5" s="16"/>
      <c r="BK5" s="16"/>
      <c r="BL5" s="16"/>
      <c r="BM5" s="16"/>
      <c r="BN5" s="16"/>
      <c r="BO5" s="16"/>
      <c r="BP5" s="16"/>
      <c r="BQ5" s="16"/>
      <c r="BR5" s="174"/>
    </row>
    <row r="6" spans="1:76" x14ac:dyDescent="0.25">
      <c r="C6" s="175" t="s">
        <v>154</v>
      </c>
      <c r="D6" s="14"/>
      <c r="E6" s="597"/>
      <c r="F6" s="597"/>
      <c r="G6" s="597"/>
      <c r="H6" s="597"/>
      <c r="I6" s="597"/>
      <c r="J6" s="597"/>
      <c r="K6" s="597"/>
      <c r="L6" s="597"/>
      <c r="M6" s="597"/>
      <c r="N6" s="597"/>
      <c r="P6" s="14"/>
      <c r="Q6" s="14"/>
      <c r="R6" s="14"/>
      <c r="S6" s="14">
        <f>R44</f>
        <v>0</v>
      </c>
      <c r="T6" s="14"/>
      <c r="U6" s="14"/>
      <c r="AC6" s="16"/>
      <c r="AG6" s="34"/>
      <c r="AO6" s="16"/>
      <c r="AS6" s="34"/>
      <c r="BA6" s="16"/>
      <c r="BE6" s="34"/>
      <c r="BI6" s="16"/>
      <c r="BJ6" s="16"/>
      <c r="BK6" s="16"/>
      <c r="BL6" s="16"/>
      <c r="BM6" s="16"/>
      <c r="BN6" s="16"/>
      <c r="BO6" s="16"/>
      <c r="BP6" s="16"/>
      <c r="BQ6" s="34"/>
      <c r="BR6" s="16"/>
      <c r="BS6" s="16"/>
      <c r="BT6" s="16"/>
      <c r="BU6" s="16"/>
      <c r="BV6" s="16"/>
      <c r="BW6" s="16"/>
      <c r="BX6" s="16"/>
    </row>
    <row r="7" spans="1:76" x14ac:dyDescent="0.25">
      <c r="A7" s="40"/>
      <c r="B7" s="40"/>
      <c r="C7" s="176" t="s">
        <v>63</v>
      </c>
      <c r="D7" s="34"/>
      <c r="E7" s="591">
        <f ca="1">SUM(P7:AA7)</f>
        <v>316.38218631709611</v>
      </c>
      <c r="F7" s="591"/>
      <c r="G7" s="591">
        <f ca="1">SUM(AB7:AM7)</f>
        <v>529.3765374135578</v>
      </c>
      <c r="H7" s="591"/>
      <c r="I7" s="591">
        <f ca="1">SUM(AN7:AY7)</f>
        <v>666.62592181475372</v>
      </c>
      <c r="J7" s="591"/>
      <c r="K7" s="591">
        <f ca="1">SUM(AZ7:BK7)</f>
        <v>819.59065144115743</v>
      </c>
      <c r="L7" s="591"/>
      <c r="M7" s="591">
        <f ca="1">SUM(BL7:BW7)</f>
        <v>989.87456423524714</v>
      </c>
      <c r="N7" s="591"/>
      <c r="P7" s="34">
        <f ca="1">Income!K22</f>
        <v>24.759720541565272</v>
      </c>
      <c r="Q7" s="34">
        <f ca="1">Income!L22</f>
        <v>25.662655554430387</v>
      </c>
      <c r="R7" s="34">
        <f ca="1">Income!M22</f>
        <v>26.573053658597615</v>
      </c>
      <c r="S7" s="34">
        <f ca="1">Income!N22</f>
        <v>27.490974601981407</v>
      </c>
      <c r="T7" s="34">
        <f ca="1">Income!O22</f>
        <v>28.416478600070974</v>
      </c>
      <c r="U7" s="34">
        <f ca="1">Income!P22</f>
        <v>22.206769196670773</v>
      </c>
      <c r="V7" s="177">
        <f ca="1">Income!Q22</f>
        <v>23.147621838953921</v>
      </c>
      <c r="W7" s="177">
        <f ca="1">Income!R22</f>
        <v>24.096241023971526</v>
      </c>
      <c r="X7" s="177">
        <f ca="1">Income!S22</f>
        <v>25.052688873761749</v>
      </c>
      <c r="Y7" s="177">
        <f ca="1">Income!T22</f>
        <v>26.017027996199996</v>
      </c>
      <c r="Z7" s="177">
        <f ca="1">Income!U22</f>
        <v>30.989321488735765</v>
      </c>
      <c r="AA7" s="32">
        <f ca="1">Income!V22</f>
        <v>31.969632942156732</v>
      </c>
      <c r="AB7" s="34">
        <f ca="1">Income!W22</f>
        <v>38.480452039620403</v>
      </c>
      <c r="AC7" s="177">
        <f ca="1">Income!X22</f>
        <v>39.476992179522867</v>
      </c>
      <c r="AD7" s="177">
        <f ca="1">Income!Y22</f>
        <v>40.481744050779298</v>
      </c>
      <c r="AE7" s="177">
        <f ca="1">Income!Z22</f>
        <v>41.49477325575053</v>
      </c>
      <c r="AF7" s="177">
        <f ca="1">Income!AA22</f>
        <v>42.516145909391554</v>
      </c>
      <c r="AG7" s="177">
        <f ca="1">Income!AB22</f>
        <v>43.545928643190564</v>
      </c>
      <c r="AH7" s="177">
        <f ca="1">Income!AC22</f>
        <v>44.584188609137755</v>
      </c>
      <c r="AI7" s="177">
        <f ca="1">Income!AD22</f>
        <v>45.630993483724922</v>
      </c>
      <c r="AJ7" s="177">
        <f ca="1">Income!AE22</f>
        <v>46.686411471974523</v>
      </c>
      <c r="AK7" s="177">
        <f ca="1">Income!AF22</f>
        <v>47.750511311500375</v>
      </c>
      <c r="AL7" s="177">
        <f ca="1">Income!AG22</f>
        <v>48.823362276597976</v>
      </c>
      <c r="AM7" s="32">
        <f ca="1">Income!AH22</f>
        <v>49.905034182367118</v>
      </c>
      <c r="AN7" s="34">
        <f ca="1">Income!AI22</f>
        <v>49.336144781508892</v>
      </c>
      <c r="AO7" s="177">
        <f ca="1">Income!AJ22</f>
        <v>50.435670197932339</v>
      </c>
      <c r="AP7" s="177">
        <f ca="1">Income!AK22</f>
        <v>51.544229286838799</v>
      </c>
      <c r="AQ7" s="177">
        <f ca="1">Income!AL22</f>
        <v>52.661894068390907</v>
      </c>
      <c r="AR7" s="177">
        <f ca="1">Income!AM22</f>
        <v>53.788737124638985</v>
      </c>
      <c r="AS7" s="177">
        <f ca="1">Income!AN22</f>
        <v>54.924831603833084</v>
      </c>
      <c r="AT7" s="177">
        <f ca="1">Income!AO22</f>
        <v>56.070251224769009</v>
      </c>
      <c r="AU7" s="177">
        <f ca="1">Income!AP22</f>
        <v>57.225070281167177</v>
      </c>
      <c r="AV7" s="177">
        <f ca="1">Income!AQ22</f>
        <v>58.389363646084149</v>
      </c>
      <c r="AW7" s="177">
        <f ca="1">Income!AR22</f>
        <v>59.563206776358157</v>
      </c>
      <c r="AX7" s="177">
        <f ca="1">Income!AS22</f>
        <v>60.746675717087683</v>
      </c>
      <c r="AY7" s="32">
        <f ca="1">Income!AT22</f>
        <v>61.939847106144612</v>
      </c>
      <c r="AZ7" s="34">
        <f ca="1">Income!AU22</f>
        <v>61.443312324554356</v>
      </c>
      <c r="BA7" s="177">
        <f ca="1">Income!AV22</f>
        <v>62.656120917744985</v>
      </c>
      <c r="BB7" s="177">
        <f ca="1">Income!AW22</f>
        <v>63.878865475161973</v>
      </c>
      <c r="BC7" s="177">
        <f ca="1">Income!AX22</f>
        <v>65.111625051586799</v>
      </c>
      <c r="BD7" s="177">
        <f ca="1">Income!AY22</f>
        <v>66.354479317657024</v>
      </c>
      <c r="BE7" s="177">
        <f ca="1">Income!AZ22</f>
        <v>67.607508564587519</v>
      </c>
      <c r="BF7" s="177">
        <f ca="1">Income!BA22</f>
        <v>68.870793708928559</v>
      </c>
      <c r="BG7" s="177">
        <f ca="1">Income!BB22</f>
        <v>70.14441629735947</v>
      </c>
      <c r="BH7" s="177">
        <f ca="1">Income!BC22</f>
        <v>71.428458511518329</v>
      </c>
      <c r="BI7" s="177">
        <f ca="1">Income!BD22</f>
        <v>72.723003172869042</v>
      </c>
      <c r="BJ7" s="177">
        <f ca="1">Income!BE22</f>
        <v>74.028133747604031</v>
      </c>
      <c r="BK7" s="32">
        <f ca="1">Income!BF22</f>
        <v>75.343934351585233</v>
      </c>
      <c r="BL7" s="34">
        <f ca="1">Income!BG22</f>
        <v>74.929931089182958</v>
      </c>
      <c r="BM7" s="177">
        <f ca="1">Income!BH22</f>
        <v>76.267326722847358</v>
      </c>
      <c r="BN7" s="177">
        <f ca="1">Income!BI22</f>
        <v>77.615648681328068</v>
      </c>
      <c r="BO7" s="177">
        <f ca="1">Income!BJ22</f>
        <v>78.974983729321679</v>
      </c>
      <c r="BP7" s="177">
        <f ca="1">Income!BK22</f>
        <v>80.345419306463711</v>
      </c>
      <c r="BQ7" s="177">
        <f ca="1">Income!BL22</f>
        <v>81.727043532497234</v>
      </c>
      <c r="BR7" s="177">
        <f ca="1">Income!BM22</f>
        <v>83.119945212480843</v>
      </c>
      <c r="BS7" s="177">
        <f ca="1">Income!BN22</f>
        <v>84.524213842037227</v>
      </c>
      <c r="BT7" s="177">
        <f ca="1">Income!BO22</f>
        <v>85.939939612639378</v>
      </c>
      <c r="BU7" s="177">
        <f ca="1">Income!BP22</f>
        <v>87.367213416939194</v>
      </c>
      <c r="BV7" s="177">
        <f ca="1">Income!BQ22</f>
        <v>88.806126854134135</v>
      </c>
      <c r="BW7" s="32">
        <f ca="1">Income!BR22</f>
        <v>90.256772235375422</v>
      </c>
    </row>
    <row r="8" spans="1:76" x14ac:dyDescent="0.25">
      <c r="A8" s="13"/>
      <c r="B8" s="40"/>
      <c r="C8" s="178" t="s">
        <v>155</v>
      </c>
      <c r="D8" s="179"/>
      <c r="E8" s="596">
        <f ca="1">SUM(P8:AA8)</f>
        <v>126.55287452683845</v>
      </c>
      <c r="F8" s="596"/>
      <c r="G8" s="596">
        <f ca="1">SUM(AB8:AM8)</f>
        <v>211.75061496542315</v>
      </c>
      <c r="H8" s="596"/>
      <c r="I8" s="596">
        <f ca="1">SUM(AN8:AY8)</f>
        <v>266.6503687259015</v>
      </c>
      <c r="J8" s="596"/>
      <c r="K8" s="596">
        <f ca="1">SUM(AZ8:BK8)</f>
        <v>327.83626057646291</v>
      </c>
      <c r="L8" s="596"/>
      <c r="M8" s="596">
        <f ca="1">SUM(BL8:BW8)</f>
        <v>395.94982569409888</v>
      </c>
      <c r="N8" s="596"/>
      <c r="P8" s="179">
        <f t="shared" ref="P8:U8" ca="1" si="0">P7*Taxes</f>
        <v>9.9038882166261093</v>
      </c>
      <c r="Q8" s="179">
        <f t="shared" ca="1" si="0"/>
        <v>10.265062221772155</v>
      </c>
      <c r="R8" s="179">
        <f t="shared" ca="1" si="0"/>
        <v>10.629221463439047</v>
      </c>
      <c r="S8" s="179">
        <f t="shared" ca="1" si="0"/>
        <v>10.996389840792563</v>
      </c>
      <c r="T8" s="179">
        <f t="shared" ca="1" si="0"/>
        <v>11.36659144002839</v>
      </c>
      <c r="U8" s="179">
        <f t="shared" ca="1" si="0"/>
        <v>8.882707678668309</v>
      </c>
      <c r="V8" s="179">
        <f t="shared" ref="V8:BA8" ca="1" si="1">V7*Taxes</f>
        <v>9.2590487355815689</v>
      </c>
      <c r="W8" s="179">
        <f t="shared" ca="1" si="1"/>
        <v>9.6384964095886119</v>
      </c>
      <c r="X8" s="179">
        <f t="shared" ca="1" si="1"/>
        <v>10.021075549504701</v>
      </c>
      <c r="Y8" s="179">
        <f t="shared" ca="1" si="1"/>
        <v>10.40681119848</v>
      </c>
      <c r="Z8" s="179">
        <f t="shared" ca="1" si="1"/>
        <v>12.395728595494306</v>
      </c>
      <c r="AA8" s="194">
        <f t="shared" ca="1" si="1"/>
        <v>12.787853176862694</v>
      </c>
      <c r="AB8" s="179">
        <f t="shared" ca="1" si="1"/>
        <v>15.392180815848162</v>
      </c>
      <c r="AC8" s="179">
        <f t="shared" ca="1" si="1"/>
        <v>15.790796871809148</v>
      </c>
      <c r="AD8" s="179">
        <f t="shared" ca="1" si="1"/>
        <v>16.192697620311719</v>
      </c>
      <c r="AE8" s="179">
        <f t="shared" ca="1" si="1"/>
        <v>16.597909302300213</v>
      </c>
      <c r="AF8" s="179">
        <f t="shared" ca="1" si="1"/>
        <v>17.006458363756622</v>
      </c>
      <c r="AG8" s="179">
        <f t="shared" ca="1" si="1"/>
        <v>17.418371457276226</v>
      </c>
      <c r="AH8" s="179">
        <f t="shared" ca="1" si="1"/>
        <v>17.833675443655103</v>
      </c>
      <c r="AI8" s="179">
        <f t="shared" ca="1" si="1"/>
        <v>18.252397393489968</v>
      </c>
      <c r="AJ8" s="179">
        <f t="shared" ca="1" si="1"/>
        <v>18.67456458878981</v>
      </c>
      <c r="AK8" s="179">
        <f t="shared" ca="1" si="1"/>
        <v>19.100204524600152</v>
      </c>
      <c r="AL8" s="179">
        <f t="shared" ca="1" si="1"/>
        <v>19.529344910639193</v>
      </c>
      <c r="AM8" s="194">
        <f t="shared" ca="1" si="1"/>
        <v>19.962013672946849</v>
      </c>
      <c r="AN8" s="179">
        <f t="shared" ca="1" si="1"/>
        <v>19.73445791260356</v>
      </c>
      <c r="AO8" s="179">
        <f t="shared" ca="1" si="1"/>
        <v>20.174268079172936</v>
      </c>
      <c r="AP8" s="179">
        <f t="shared" ca="1" si="1"/>
        <v>20.617691714735521</v>
      </c>
      <c r="AQ8" s="179">
        <f t="shared" ca="1" si="1"/>
        <v>21.064757627356364</v>
      </c>
      <c r="AR8" s="179">
        <f t="shared" ca="1" si="1"/>
        <v>21.515494849855596</v>
      </c>
      <c r="AS8" s="179">
        <f t="shared" ca="1" si="1"/>
        <v>21.969932641533234</v>
      </c>
      <c r="AT8" s="179">
        <f t="shared" ca="1" si="1"/>
        <v>22.428100489907607</v>
      </c>
      <c r="AU8" s="179">
        <f t="shared" ca="1" si="1"/>
        <v>22.890028112466872</v>
      </c>
      <c r="AV8" s="179">
        <f t="shared" ca="1" si="1"/>
        <v>23.35574545843366</v>
      </c>
      <c r="AW8" s="179">
        <f t="shared" ca="1" si="1"/>
        <v>23.825282710543263</v>
      </c>
      <c r="AX8" s="179">
        <f t="shared" ca="1" si="1"/>
        <v>24.298670286835076</v>
      </c>
      <c r="AY8" s="194">
        <f t="shared" ca="1" si="1"/>
        <v>24.775938842457847</v>
      </c>
      <c r="AZ8" s="179">
        <f t="shared" ca="1" si="1"/>
        <v>24.577324929821742</v>
      </c>
      <c r="BA8" s="179">
        <f t="shared" ca="1" si="1"/>
        <v>25.062448367097996</v>
      </c>
      <c r="BB8" s="179">
        <f t="shared" ref="BB8:BW8" ca="1" si="2">BB7*Taxes</f>
        <v>25.551546190064791</v>
      </c>
      <c r="BC8" s="179">
        <f t="shared" ca="1" si="2"/>
        <v>26.04465002063472</v>
      </c>
      <c r="BD8" s="179">
        <f t="shared" ca="1" si="2"/>
        <v>26.541791727062812</v>
      </c>
      <c r="BE8" s="179">
        <f t="shared" ca="1" si="2"/>
        <v>27.04300342583501</v>
      </c>
      <c r="BF8" s="179">
        <f t="shared" ca="1" si="2"/>
        <v>27.548317483571424</v>
      </c>
      <c r="BG8" s="179">
        <f t="shared" ca="1" si="2"/>
        <v>28.05776651894379</v>
      </c>
      <c r="BH8" s="179">
        <f t="shared" ca="1" si="2"/>
        <v>28.571383404607332</v>
      </c>
      <c r="BI8" s="179">
        <f t="shared" ca="1" si="2"/>
        <v>29.089201269147619</v>
      </c>
      <c r="BJ8" s="179">
        <f t="shared" ca="1" si="2"/>
        <v>29.611253499041613</v>
      </c>
      <c r="BK8" s="194">
        <f t="shared" ca="1" si="2"/>
        <v>30.137573740634096</v>
      </c>
      <c r="BL8" s="179">
        <f t="shared" ca="1" si="2"/>
        <v>29.971972435673184</v>
      </c>
      <c r="BM8" s="179">
        <f t="shared" ca="1" si="2"/>
        <v>30.506930689138944</v>
      </c>
      <c r="BN8" s="179">
        <f t="shared" ca="1" si="2"/>
        <v>31.046259472531229</v>
      </c>
      <c r="BO8" s="179">
        <f t="shared" ca="1" si="2"/>
        <v>31.589993491728674</v>
      </c>
      <c r="BP8" s="179">
        <f t="shared" ca="1" si="2"/>
        <v>32.138167722585486</v>
      </c>
      <c r="BQ8" s="179">
        <f t="shared" ca="1" si="2"/>
        <v>32.690817412998896</v>
      </c>
      <c r="BR8" s="179">
        <f t="shared" ca="1" si="2"/>
        <v>33.24797808499234</v>
      </c>
      <c r="BS8" s="179">
        <f t="shared" ca="1" si="2"/>
        <v>33.809685536814889</v>
      </c>
      <c r="BT8" s="179">
        <f t="shared" ca="1" si="2"/>
        <v>34.375975845055756</v>
      </c>
      <c r="BU8" s="179">
        <f t="shared" ca="1" si="2"/>
        <v>34.946885366775682</v>
      </c>
      <c r="BV8" s="179">
        <f t="shared" ca="1" si="2"/>
        <v>35.522450741653657</v>
      </c>
      <c r="BW8" s="194">
        <f t="shared" ca="1" si="2"/>
        <v>36.102708894150169</v>
      </c>
    </row>
    <row r="9" spans="1:76" x14ac:dyDescent="0.25">
      <c r="A9" s="13"/>
      <c r="B9" s="40"/>
      <c r="C9" s="181" t="s">
        <v>102</v>
      </c>
      <c r="D9" s="14"/>
      <c r="E9" s="597">
        <f t="shared" ref="E9:E11" ca="1" si="3">SUM(P9:AA9)</f>
        <v>189.82931179025769</v>
      </c>
      <c r="F9" s="597"/>
      <c r="G9" s="597">
        <f t="shared" ref="G9:G11" ca="1" si="4">SUM(AB9:AM9)</f>
        <v>317.6259224481347</v>
      </c>
      <c r="H9" s="597"/>
      <c r="I9" s="597">
        <f t="shared" ref="I9:I11" ca="1" si="5">SUM(AN9:AY9)</f>
        <v>399.97555308885222</v>
      </c>
      <c r="J9" s="597"/>
      <c r="K9" s="597">
        <f t="shared" ref="K9:K11" ca="1" si="6">SUM(AZ9:BK9)</f>
        <v>491.75439086469441</v>
      </c>
      <c r="L9" s="597"/>
      <c r="M9" s="597">
        <f t="shared" ref="M9:M11" ca="1" si="7">SUM(BL9:BW9)</f>
        <v>593.92473854114837</v>
      </c>
      <c r="N9" s="597"/>
      <c r="P9" s="14">
        <f t="shared" ref="P9:BW9" ca="1" si="8">P7-P8</f>
        <v>14.855832324939163</v>
      </c>
      <c r="Q9" s="14">
        <f t="shared" ca="1" si="8"/>
        <v>15.397593332658232</v>
      </c>
      <c r="R9" s="14">
        <f t="shared" ca="1" si="8"/>
        <v>15.943832195158569</v>
      </c>
      <c r="S9" s="14">
        <f t="shared" ca="1" si="8"/>
        <v>16.494584761188843</v>
      </c>
      <c r="T9" s="14">
        <f t="shared" ca="1" si="8"/>
        <v>17.049887160042584</v>
      </c>
      <c r="U9" s="14">
        <f t="shared" ca="1" si="8"/>
        <v>13.324061518002464</v>
      </c>
      <c r="V9" s="14">
        <f t="shared" ca="1" si="8"/>
        <v>13.888573103372352</v>
      </c>
      <c r="W9" s="14">
        <f t="shared" ca="1" si="8"/>
        <v>14.457744614382914</v>
      </c>
      <c r="X9" s="14">
        <f t="shared" ca="1" si="8"/>
        <v>15.031613324257048</v>
      </c>
      <c r="Y9" s="14">
        <f t="shared" ca="1" si="8"/>
        <v>15.610216797719996</v>
      </c>
      <c r="Z9" s="14">
        <f t="shared" ca="1" si="8"/>
        <v>18.593592893241457</v>
      </c>
      <c r="AA9" s="14">
        <f t="shared" ca="1" si="8"/>
        <v>19.181779765294038</v>
      </c>
      <c r="AB9" s="14">
        <f t="shared" ca="1" si="8"/>
        <v>23.088271223772239</v>
      </c>
      <c r="AC9" s="14">
        <f t="shared" ca="1" si="8"/>
        <v>23.686195307713717</v>
      </c>
      <c r="AD9" s="14">
        <f t="shared" ca="1" si="8"/>
        <v>24.289046430467579</v>
      </c>
      <c r="AE9" s="14">
        <f t="shared" ca="1" si="8"/>
        <v>24.896863953450318</v>
      </c>
      <c r="AF9" s="14">
        <f t="shared" ca="1" si="8"/>
        <v>25.509687545634932</v>
      </c>
      <c r="AG9" s="14">
        <f t="shared" ca="1" si="8"/>
        <v>26.127557185914338</v>
      </c>
      <c r="AH9" s="14">
        <f t="shared" ca="1" si="8"/>
        <v>26.750513165482651</v>
      </c>
      <c r="AI9" s="14">
        <f t="shared" ca="1" si="8"/>
        <v>27.378596090234954</v>
      </c>
      <c r="AJ9" s="14">
        <f t="shared" ca="1" si="8"/>
        <v>28.011846883184713</v>
      </c>
      <c r="AK9" s="14">
        <f t="shared" ca="1" si="8"/>
        <v>28.650306786900224</v>
      </c>
      <c r="AL9" s="14">
        <f t="shared" ca="1" si="8"/>
        <v>29.294017365958783</v>
      </c>
      <c r="AM9" s="14">
        <f t="shared" ca="1" si="8"/>
        <v>29.943020509420268</v>
      </c>
      <c r="AN9" s="14">
        <f t="shared" ca="1" si="8"/>
        <v>29.601686868905333</v>
      </c>
      <c r="AO9" s="14">
        <f t="shared" ca="1" si="8"/>
        <v>30.261402118759403</v>
      </c>
      <c r="AP9" s="14">
        <f t="shared" ca="1" si="8"/>
        <v>30.926537572103278</v>
      </c>
      <c r="AQ9" s="14">
        <f t="shared" ca="1" si="8"/>
        <v>31.597136441034543</v>
      </c>
      <c r="AR9" s="14">
        <f t="shared" ca="1" si="8"/>
        <v>32.273242274783385</v>
      </c>
      <c r="AS9" s="14">
        <f t="shared" ca="1" si="8"/>
        <v>32.95489896229985</v>
      </c>
      <c r="AT9" s="14">
        <f t="shared" ca="1" si="8"/>
        <v>33.642150734861403</v>
      </c>
      <c r="AU9" s="14">
        <f t="shared" ca="1" si="8"/>
        <v>34.335042168700305</v>
      </c>
      <c r="AV9" s="14">
        <f t="shared" ca="1" si="8"/>
        <v>35.03361818765049</v>
      </c>
      <c r="AW9" s="14">
        <f t="shared" ca="1" si="8"/>
        <v>35.737924065814894</v>
      </c>
      <c r="AX9" s="14">
        <f t="shared" ca="1" si="8"/>
        <v>36.448005430252607</v>
      </c>
      <c r="AY9" s="14">
        <f t="shared" ca="1" si="8"/>
        <v>37.163908263686764</v>
      </c>
      <c r="AZ9" s="14">
        <f t="shared" ca="1" si="8"/>
        <v>36.865987394732613</v>
      </c>
      <c r="BA9" s="14">
        <f t="shared" ca="1" si="8"/>
        <v>37.593672550646986</v>
      </c>
      <c r="BB9" s="14">
        <f t="shared" ca="1" si="8"/>
        <v>38.327319285097182</v>
      </c>
      <c r="BC9" s="14">
        <f t="shared" ca="1" si="8"/>
        <v>39.066975030952079</v>
      </c>
      <c r="BD9" s="14">
        <f t="shared" ca="1" si="8"/>
        <v>39.812687590594209</v>
      </c>
      <c r="BE9" s="14">
        <f t="shared" ca="1" si="8"/>
        <v>40.564505138752509</v>
      </c>
      <c r="BF9" s="14">
        <f t="shared" ca="1" si="8"/>
        <v>41.322476225357136</v>
      </c>
      <c r="BG9" s="14">
        <f t="shared" ca="1" si="8"/>
        <v>42.086649778415676</v>
      </c>
      <c r="BH9" s="14">
        <f t="shared" ca="1" si="8"/>
        <v>42.857075106910997</v>
      </c>
      <c r="BI9" s="14">
        <f t="shared" ca="1" si="8"/>
        <v>43.63380190372142</v>
      </c>
      <c r="BJ9" s="14">
        <f t="shared" ca="1" si="8"/>
        <v>44.416880248562421</v>
      </c>
      <c r="BK9" s="14">
        <f t="shared" ca="1" si="8"/>
        <v>45.206360610951137</v>
      </c>
      <c r="BL9" s="14">
        <f t="shared" ca="1" si="8"/>
        <v>44.957958653509777</v>
      </c>
      <c r="BM9" s="14">
        <f t="shared" ca="1" si="8"/>
        <v>45.760396033708417</v>
      </c>
      <c r="BN9" s="14">
        <f t="shared" ca="1" si="8"/>
        <v>46.569389208796835</v>
      </c>
      <c r="BO9" s="14">
        <f t="shared" ca="1" si="8"/>
        <v>47.384990237593001</v>
      </c>
      <c r="BP9" s="14">
        <f t="shared" ca="1" si="8"/>
        <v>48.207251583878225</v>
      </c>
      <c r="BQ9" s="14">
        <f t="shared" ca="1" si="8"/>
        <v>49.036226119498338</v>
      </c>
      <c r="BR9" s="14">
        <f t="shared" ca="1" si="8"/>
        <v>49.871967127488503</v>
      </c>
      <c r="BS9" s="14">
        <f t="shared" ca="1" si="8"/>
        <v>50.714528305222338</v>
      </c>
      <c r="BT9" s="14">
        <f t="shared" ca="1" si="8"/>
        <v>51.563963767583623</v>
      </c>
      <c r="BU9" s="14">
        <f t="shared" ca="1" si="8"/>
        <v>52.420328050163512</v>
      </c>
      <c r="BV9" s="14">
        <f t="shared" ca="1" si="8"/>
        <v>53.283676112480478</v>
      </c>
      <c r="BW9" s="14">
        <f t="shared" ca="1" si="8"/>
        <v>54.154063341225253</v>
      </c>
    </row>
    <row r="10" spans="1:76" x14ac:dyDescent="0.25">
      <c r="A10" s="13"/>
      <c r="B10" s="40"/>
      <c r="C10" s="182" t="s">
        <v>156</v>
      </c>
      <c r="D10" s="14"/>
      <c r="E10" s="597">
        <f t="shared" si="3"/>
        <v>89.999999999999986</v>
      </c>
      <c r="F10" s="597"/>
      <c r="G10" s="597">
        <f t="shared" si="4"/>
        <v>0</v>
      </c>
      <c r="H10" s="597"/>
      <c r="I10" s="597">
        <f t="shared" si="5"/>
        <v>0</v>
      </c>
      <c r="J10" s="597"/>
      <c r="K10" s="597">
        <f t="shared" si="6"/>
        <v>0</v>
      </c>
      <c r="L10" s="597"/>
      <c r="M10" s="597">
        <f t="shared" si="7"/>
        <v>0</v>
      </c>
      <c r="N10" s="597"/>
      <c r="P10" s="14">
        <f>Income!K21</f>
        <v>4</v>
      </c>
      <c r="Q10" s="14">
        <f>Income!L21</f>
        <v>4</v>
      </c>
      <c r="R10" s="14">
        <f>Income!M21</f>
        <v>4</v>
      </c>
      <c r="S10" s="14">
        <f>Income!N21</f>
        <v>4</v>
      </c>
      <c r="T10" s="14">
        <f>Income!O21</f>
        <v>4</v>
      </c>
      <c r="U10" s="14">
        <f>Income!P21</f>
        <v>11.142857142857142</v>
      </c>
      <c r="V10" s="14">
        <f>Income!Q21</f>
        <v>11.142857142857142</v>
      </c>
      <c r="W10" s="14">
        <f>Income!R21</f>
        <v>11.142857142857142</v>
      </c>
      <c r="X10" s="14">
        <f>Income!S21</f>
        <v>11.142857142857142</v>
      </c>
      <c r="Y10" s="14">
        <f>Income!T21</f>
        <v>11.142857142857142</v>
      </c>
      <c r="Z10" s="14">
        <f>Income!U21</f>
        <v>7.1428571428571432</v>
      </c>
      <c r="AA10" s="14">
        <f>Income!V21</f>
        <v>7.1428571428571432</v>
      </c>
      <c r="AB10" s="14">
        <f>Income!W21</f>
        <v>0</v>
      </c>
      <c r="AC10" s="14">
        <f>Income!X21</f>
        <v>0</v>
      </c>
      <c r="AD10" s="14">
        <f>Income!Y21</f>
        <v>0</v>
      </c>
      <c r="AE10" s="14">
        <f>Income!Z21</f>
        <v>0</v>
      </c>
      <c r="AF10" s="14">
        <f>Income!AA21</f>
        <v>0</v>
      </c>
      <c r="AG10" s="14">
        <f>Income!AB21</f>
        <v>0</v>
      </c>
      <c r="AH10" s="14">
        <f>Income!AC21</f>
        <v>0</v>
      </c>
      <c r="AI10" s="14">
        <f>Income!AD21</f>
        <v>0</v>
      </c>
      <c r="AJ10" s="14">
        <f>Income!AE21</f>
        <v>0</v>
      </c>
      <c r="AK10" s="14">
        <f>Income!AF21</f>
        <v>0</v>
      </c>
      <c r="AL10" s="14">
        <f>Income!AG21</f>
        <v>0</v>
      </c>
      <c r="AM10" s="14">
        <f>Income!AH21</f>
        <v>0</v>
      </c>
      <c r="AN10" s="14">
        <f>Income!AI21</f>
        <v>0</v>
      </c>
      <c r="AO10" s="14">
        <f>Income!AJ21</f>
        <v>0</v>
      </c>
      <c r="AP10" s="14">
        <f>Income!AK21</f>
        <v>0</v>
      </c>
      <c r="AQ10" s="14">
        <f>Income!AL21</f>
        <v>0</v>
      </c>
      <c r="AR10" s="14">
        <f>Income!AM21</f>
        <v>0</v>
      </c>
      <c r="AS10" s="14">
        <f>Income!AN21</f>
        <v>0</v>
      </c>
      <c r="AT10" s="14">
        <f>Income!AO21</f>
        <v>0</v>
      </c>
      <c r="AU10" s="14">
        <f>Income!AP21</f>
        <v>0</v>
      </c>
      <c r="AV10" s="14">
        <f>Income!AQ21</f>
        <v>0</v>
      </c>
      <c r="AW10" s="14">
        <f>Income!AR21</f>
        <v>0</v>
      </c>
      <c r="AX10" s="14">
        <f>Income!AS21</f>
        <v>0</v>
      </c>
      <c r="AY10" s="14">
        <f>Income!AT21</f>
        <v>0</v>
      </c>
      <c r="AZ10" s="14">
        <f>Income!AU21</f>
        <v>0</v>
      </c>
      <c r="BA10" s="14">
        <f>Income!AV21</f>
        <v>0</v>
      </c>
      <c r="BB10" s="14">
        <f>Income!AW21</f>
        <v>0</v>
      </c>
      <c r="BC10" s="14">
        <f>Income!AX21</f>
        <v>0</v>
      </c>
      <c r="BD10" s="14">
        <f>Income!AY21</f>
        <v>0</v>
      </c>
      <c r="BE10" s="14">
        <f>Income!AZ21</f>
        <v>0</v>
      </c>
      <c r="BF10" s="14">
        <f>Income!BA21</f>
        <v>0</v>
      </c>
      <c r="BG10" s="14">
        <f>Income!BB21</f>
        <v>0</v>
      </c>
      <c r="BH10" s="14">
        <f>Income!BC21</f>
        <v>0</v>
      </c>
      <c r="BI10" s="14">
        <f>Income!BD21</f>
        <v>0</v>
      </c>
      <c r="BJ10" s="14">
        <f>Income!BE21</f>
        <v>0</v>
      </c>
      <c r="BK10" s="14">
        <f>Income!BF21</f>
        <v>0</v>
      </c>
      <c r="BL10" s="14">
        <f>Income!BG21</f>
        <v>0</v>
      </c>
      <c r="BM10" s="14">
        <f>Income!BH21</f>
        <v>0</v>
      </c>
      <c r="BN10" s="14">
        <f>Income!BI21</f>
        <v>0</v>
      </c>
      <c r="BO10" s="14">
        <f>Income!BJ21</f>
        <v>0</v>
      </c>
      <c r="BP10" s="14">
        <f>Income!BK21</f>
        <v>0</v>
      </c>
      <c r="BQ10" s="14">
        <f>Income!BL21</f>
        <v>0</v>
      </c>
      <c r="BR10" s="14">
        <f>Income!BM21</f>
        <v>0</v>
      </c>
      <c r="BS10" s="14">
        <f>Income!BN21</f>
        <v>0</v>
      </c>
      <c r="BT10" s="14">
        <f>Income!BO21</f>
        <v>0</v>
      </c>
      <c r="BU10" s="14">
        <f>Income!BP21</f>
        <v>0</v>
      </c>
      <c r="BV10" s="14">
        <f>Income!BQ21</f>
        <v>0</v>
      </c>
      <c r="BW10" s="14">
        <f>Income!BR21</f>
        <v>0</v>
      </c>
    </row>
    <row r="11" spans="1:76" x14ac:dyDescent="0.25">
      <c r="A11" s="13"/>
      <c r="B11" s="40"/>
      <c r="C11" s="183" t="s">
        <v>157</v>
      </c>
      <c r="D11" s="14"/>
      <c r="E11" s="597">
        <f t="shared" si="3"/>
        <v>-190</v>
      </c>
      <c r="F11" s="597"/>
      <c r="G11" s="597">
        <f t="shared" si="4"/>
        <v>0</v>
      </c>
      <c r="H11" s="597"/>
      <c r="I11" s="597">
        <f t="shared" si="5"/>
        <v>0</v>
      </c>
      <c r="J11" s="597"/>
      <c r="K11" s="597">
        <f t="shared" si="6"/>
        <v>0</v>
      </c>
      <c r="L11" s="597"/>
      <c r="M11" s="597">
        <f t="shared" si="7"/>
        <v>0</v>
      </c>
      <c r="N11" s="597"/>
      <c r="P11" s="14">
        <f>-CapEx!K12</f>
        <v>-40</v>
      </c>
      <c r="Q11" s="14">
        <f>-CapEx!L12</f>
        <v>0</v>
      </c>
      <c r="R11" s="14">
        <f>-CapEx!M12</f>
        <v>-50</v>
      </c>
      <c r="S11" s="14">
        <f>-CapEx!N12</f>
        <v>0</v>
      </c>
      <c r="T11" s="14">
        <f>-CapEx!O12</f>
        <v>0</v>
      </c>
      <c r="U11" s="14">
        <f>-CapEx!P12</f>
        <v>-100</v>
      </c>
      <c r="V11" s="14">
        <f>-CapEx!Q12</f>
        <v>0</v>
      </c>
      <c r="W11" s="14">
        <f>-CapEx!R12</f>
        <v>0</v>
      </c>
      <c r="X11" s="14">
        <f>-CapEx!S12</f>
        <v>0</v>
      </c>
      <c r="Y11" s="14">
        <f>-CapEx!T12</f>
        <v>0</v>
      </c>
      <c r="Z11" s="14">
        <f>-CapEx!U12</f>
        <v>0</v>
      </c>
      <c r="AA11" s="34">
        <f>-CapEx!V12</f>
        <v>0</v>
      </c>
      <c r="AB11" s="14">
        <f>-CapEx!W12</f>
        <v>0</v>
      </c>
      <c r="AC11" s="14">
        <f>-CapEx!X12</f>
        <v>0</v>
      </c>
      <c r="AD11" s="14">
        <f>-CapEx!Y12</f>
        <v>0</v>
      </c>
      <c r="AE11" s="14">
        <f>-CapEx!Z12</f>
        <v>0</v>
      </c>
      <c r="AF11" s="14">
        <f>-CapEx!AA12</f>
        <v>0</v>
      </c>
      <c r="AG11" s="14">
        <f>-CapEx!AB12</f>
        <v>0</v>
      </c>
      <c r="AH11" s="14">
        <f>-CapEx!AC12</f>
        <v>0</v>
      </c>
      <c r="AI11" s="14">
        <f>-CapEx!AD12</f>
        <v>0</v>
      </c>
      <c r="AJ11" s="14">
        <f>-CapEx!AE12</f>
        <v>0</v>
      </c>
      <c r="AK11" s="14">
        <f>-CapEx!AF12</f>
        <v>0</v>
      </c>
      <c r="AL11" s="14">
        <f>-CapEx!AG12</f>
        <v>0</v>
      </c>
      <c r="AM11" s="34">
        <f>-CapEx!AH12</f>
        <v>0</v>
      </c>
      <c r="AN11" s="14">
        <f>-CapEx!AI12</f>
        <v>0</v>
      </c>
      <c r="AO11" s="14">
        <f>-CapEx!AJ12</f>
        <v>0</v>
      </c>
      <c r="AP11" s="14">
        <f>-CapEx!AK12</f>
        <v>0</v>
      </c>
      <c r="AQ11" s="14">
        <f>-CapEx!AL12</f>
        <v>0</v>
      </c>
      <c r="AR11" s="14">
        <f>-CapEx!AM12</f>
        <v>0</v>
      </c>
      <c r="AS11" s="14">
        <f>-CapEx!AN12</f>
        <v>0</v>
      </c>
      <c r="AT11" s="14">
        <f>-CapEx!AO12</f>
        <v>0</v>
      </c>
      <c r="AU11" s="14">
        <f>-CapEx!AP12</f>
        <v>0</v>
      </c>
      <c r="AV11" s="14">
        <f>-CapEx!AQ12</f>
        <v>0</v>
      </c>
      <c r="AW11" s="14">
        <f>-CapEx!AR12</f>
        <v>0</v>
      </c>
      <c r="AX11" s="14">
        <f>-CapEx!AS12</f>
        <v>0</v>
      </c>
      <c r="AY11" s="34">
        <f>-CapEx!AT12</f>
        <v>0</v>
      </c>
      <c r="AZ11" s="14">
        <f>-CapEx!AU12</f>
        <v>0</v>
      </c>
      <c r="BA11" s="14">
        <f>-CapEx!AV12</f>
        <v>0</v>
      </c>
      <c r="BB11" s="14">
        <f>-CapEx!AW12</f>
        <v>0</v>
      </c>
      <c r="BC11" s="14">
        <f>-CapEx!AX12</f>
        <v>0</v>
      </c>
      <c r="BD11" s="14">
        <f>-CapEx!AY12</f>
        <v>0</v>
      </c>
      <c r="BE11" s="14">
        <f>-CapEx!AZ12</f>
        <v>0</v>
      </c>
      <c r="BF11" s="14">
        <f>-CapEx!BA12</f>
        <v>0</v>
      </c>
      <c r="BG11" s="14">
        <f>-CapEx!BB12</f>
        <v>0</v>
      </c>
      <c r="BH11" s="14">
        <f>-CapEx!BC12</f>
        <v>0</v>
      </c>
      <c r="BI11" s="14">
        <f>-CapEx!BD12</f>
        <v>0</v>
      </c>
      <c r="BJ11" s="14">
        <f>-CapEx!BE12</f>
        <v>0</v>
      </c>
      <c r="BK11" s="34">
        <f>-CapEx!BF12</f>
        <v>0</v>
      </c>
      <c r="BL11" s="14">
        <f>-CapEx!BG12</f>
        <v>0</v>
      </c>
      <c r="BM11" s="14">
        <f>-CapEx!BH12</f>
        <v>0</v>
      </c>
      <c r="BN11" s="14">
        <f>-CapEx!BI12</f>
        <v>0</v>
      </c>
      <c r="BO11" s="14">
        <f>-CapEx!BJ12</f>
        <v>0</v>
      </c>
      <c r="BP11" s="14">
        <f>-CapEx!BK12</f>
        <v>0</v>
      </c>
      <c r="BQ11" s="14">
        <f>-CapEx!BL12</f>
        <v>0</v>
      </c>
      <c r="BR11" s="14">
        <f>-CapEx!BM12</f>
        <v>0</v>
      </c>
      <c r="BS11" s="14">
        <f>-CapEx!BN12</f>
        <v>0</v>
      </c>
      <c r="BT11" s="14">
        <f>-CapEx!BO12</f>
        <v>0</v>
      </c>
      <c r="BU11" s="14">
        <f>-CapEx!BP12</f>
        <v>0</v>
      </c>
      <c r="BV11" s="14">
        <f>-CapEx!BQ12</f>
        <v>0</v>
      </c>
      <c r="BW11" s="34">
        <f>-CapEx!BR12</f>
        <v>0</v>
      </c>
    </row>
    <row r="12" spans="1:76" x14ac:dyDescent="0.25">
      <c r="A12" s="13"/>
      <c r="B12" s="40"/>
      <c r="C12" s="184" t="s">
        <v>158</v>
      </c>
      <c r="D12" s="34"/>
      <c r="E12" s="591">
        <f ca="1">AA12</f>
        <v>1075.1343625525999</v>
      </c>
      <c r="F12" s="591"/>
      <c r="G12" s="591">
        <f ca="1">AM12</f>
        <v>1372.1149465398018</v>
      </c>
      <c r="H12" s="591"/>
      <c r="I12" s="591">
        <f ca="1">AY12</f>
        <v>1815.7421287511725</v>
      </c>
      <c r="J12" s="591"/>
      <c r="K12" s="591">
        <f ca="1">BK12</f>
        <v>2355.3888893958074</v>
      </c>
      <c r="L12" s="591"/>
      <c r="M12" s="591">
        <f ca="1">BW12</f>
        <v>3057.7908509024855</v>
      </c>
      <c r="N12" s="591"/>
      <c r="P12" s="34">
        <f ca="1">Balance!K9</f>
        <v>771.66497058111099</v>
      </c>
      <c r="Q12" s="34">
        <f ca="1">Balance!L9</f>
        <v>998.37865614493671</v>
      </c>
      <c r="R12" s="34">
        <f ca="1">Balance!M9</f>
        <v>1028.0796212492792</v>
      </c>
      <c r="S12" s="34">
        <f ca="1">Balance!N9</f>
        <v>1033.1635200597245</v>
      </c>
      <c r="T12" s="34">
        <f ca="1">Balance!O9</f>
        <v>1038.2829349965859</v>
      </c>
      <c r="U12" s="34">
        <f ca="1">Balance!P9</f>
        <v>1043.4381142887687</v>
      </c>
      <c r="V12" s="177">
        <f ca="1">Balance!Q9</f>
        <v>1048.629307900839</v>
      </c>
      <c r="W12" s="177">
        <f ca="1">Balance!R9</f>
        <v>1053.856767545167</v>
      </c>
      <c r="X12" s="177">
        <f ca="1">Balance!S9</f>
        <v>1059.120746694151</v>
      </c>
      <c r="Y12" s="177">
        <f ca="1">Balance!T9</f>
        <v>1064.4215005925294</v>
      </c>
      <c r="Z12" s="177">
        <f ca="1">Balance!U9</f>
        <v>1069.7592862697798</v>
      </c>
      <c r="AA12" s="32">
        <f ca="1">Balance!V9</f>
        <v>1075.1343625525999</v>
      </c>
      <c r="AB12" s="34">
        <f ca="1">Balance!W9</f>
        <v>1080.5469900774833</v>
      </c>
      <c r="AC12" s="177">
        <f ca="1">Balance!X9</f>
        <v>1085.9974313033763</v>
      </c>
      <c r="AD12" s="177">
        <f ca="1">Balance!Y9</f>
        <v>1095.4044171845387</v>
      </c>
      <c r="AE12" s="177">
        <f ca="1">Balance!Z9</f>
        <v>1123.546100621043</v>
      </c>
      <c r="AF12" s="177">
        <f ca="1">Balance!AA9</f>
        <v>1152.3264533079027</v>
      </c>
      <c r="AG12" s="177">
        <f ca="1">Balance!AB9</f>
        <v>1181.7506898808422</v>
      </c>
      <c r="AH12" s="177">
        <f ca="1">Balance!AC9</f>
        <v>1211.8240663664519</v>
      </c>
      <c r="AI12" s="177">
        <f ca="1">Balance!AD9</f>
        <v>1242.5518805040654</v>
      </c>
      <c r="AJ12" s="177">
        <f ca="1">Balance!AE9</f>
        <v>1273.9394720700957</v>
      </c>
      <c r="AK12" s="177">
        <f ca="1">Balance!AF9</f>
        <v>1305.9922232048571</v>
      </c>
      <c r="AL12" s="177">
        <f ca="1">Balance!AG9</f>
        <v>1338.7155587418893</v>
      </c>
      <c r="AM12" s="32">
        <f ca="1">Balance!AH9</f>
        <v>1372.1149465398018</v>
      </c>
      <c r="AN12" s="34">
        <f ca="1">Balance!AI9</f>
        <v>1405.2002262522435</v>
      </c>
      <c r="AO12" s="177">
        <f ca="1">Balance!AJ9</f>
        <v>1438.9726243580881</v>
      </c>
      <c r="AP12" s="177">
        <f ca="1">Balance!AK9</f>
        <v>1473.4377398077138</v>
      </c>
      <c r="AQ12" s="177">
        <f ca="1">Balance!AL9</f>
        <v>1508.6012159295381</v>
      </c>
      <c r="AR12" s="177">
        <f ca="1">Balance!AM9</f>
        <v>1544.4687407747558</v>
      </c>
      <c r="AS12" s="177">
        <f ca="1">Balance!AN9</f>
        <v>1581.0460474647111</v>
      </c>
      <c r="AT12" s="177">
        <f ca="1">Balance!AO9</f>
        <v>1618.3389145409333</v>
      </c>
      <c r="AU12" s="177">
        <f ca="1">Balance!AP9</f>
        <v>1656.3531663178449</v>
      </c>
      <c r="AV12" s="177">
        <f ca="1">Balance!AQ9</f>
        <v>1695.0946732381678</v>
      </c>
      <c r="AW12" s="177">
        <f ca="1">Balance!AR9</f>
        <v>1734.5693522310517</v>
      </c>
      <c r="AX12" s="177">
        <f ca="1">Balance!AS9</f>
        <v>1774.7831670729354</v>
      </c>
      <c r="AY12" s="32">
        <f ca="1">Balance!AT9</f>
        <v>1815.7421287511725</v>
      </c>
      <c r="AZ12" s="34">
        <f ca="1">Balance!AU9</f>
        <v>1856.4326043179326</v>
      </c>
      <c r="BA12" s="177">
        <f ca="1">Balance!AV9</f>
        <v>1897.8803917969078</v>
      </c>
      <c r="BB12" s="177">
        <f ca="1">Balance!AW9</f>
        <v>1940.0916460178396</v>
      </c>
      <c r="BC12" s="177">
        <f ca="1">Balance!AX9</f>
        <v>1983.0725705038892</v>
      </c>
      <c r="BD12" s="177">
        <f ca="1">Balance!AY9</f>
        <v>2026.829417849372</v>
      </c>
      <c r="BE12" s="177">
        <f ca="1">Balance!AZ9</f>
        <v>2071.368490100383</v>
      </c>
      <c r="BF12" s="177">
        <f ca="1">Balance!BA9</f>
        <v>2116.6961391383261</v>
      </c>
      <c r="BG12" s="177">
        <f ca="1">Balance!BB9</f>
        <v>2162.8187670663751</v>
      </c>
      <c r="BH12" s="177">
        <f ca="1">Balance!BC9</f>
        <v>2209.7428265988915</v>
      </c>
      <c r="BI12" s="177">
        <f ca="1">Balance!BD9</f>
        <v>2257.4748214538095</v>
      </c>
      <c r="BJ12" s="177">
        <f ca="1">Balance!BE9</f>
        <v>2306.0213067480267</v>
      </c>
      <c r="BK12" s="32">
        <f ca="1">Balance!BF9</f>
        <v>2355.3888893958074</v>
      </c>
      <c r="BL12" s="34">
        <f ca="1">Balance!BG9</f>
        <v>2404.5398933105521</v>
      </c>
      <c r="BM12" s="177">
        <f ca="1">Balance!BH9</f>
        <v>2454.5253654083622</v>
      </c>
      <c r="BN12" s="177">
        <f ca="1">Balance!BI9</f>
        <v>2505.3520704165931</v>
      </c>
      <c r="BO12" s="177">
        <f ca="1">Balance!BJ9</f>
        <v>2557.0268264842571</v>
      </c>
      <c r="BP12" s="177">
        <f ca="1">Balance!BK9</f>
        <v>2609.5565055958727</v>
      </c>
      <c r="BQ12" s="177">
        <f ca="1">Balance!BL9</f>
        <v>2662.9480339884808</v>
      </c>
      <c r="BR12" s="177">
        <f ca="1">Balance!BM9</f>
        <v>2726.2083925718362</v>
      </c>
      <c r="BS12" s="177">
        <f ca="1">Balance!BN9</f>
        <v>2781.3446173518155</v>
      </c>
      <c r="BT12" s="177">
        <f ca="1">Balance!BO9</f>
        <v>2837.3637998570434</v>
      </c>
      <c r="BU12" s="177">
        <f ca="1">Balance!BP9</f>
        <v>2941.273087568793</v>
      </c>
      <c r="BV12" s="177">
        <f ca="1">Balance!BQ9</f>
        <v>2999.0796843541489</v>
      </c>
      <c r="BW12" s="32">
        <f ca="1">Balance!BR9</f>
        <v>3057.7908509024855</v>
      </c>
    </row>
    <row r="13" spans="1:76" x14ac:dyDescent="0.25">
      <c r="A13" s="13"/>
      <c r="B13" s="40"/>
      <c r="C13" s="185" t="s">
        <v>159</v>
      </c>
      <c r="D13" s="34"/>
      <c r="E13" s="591">
        <f t="shared" ref="E13" ca="1" si="9">SUM(P13:AA13)</f>
        <v>-3600</v>
      </c>
      <c r="F13" s="591"/>
      <c r="G13" s="591">
        <f t="shared" ref="G13" ca="1" si="10">SUM(AB13:AM13)</f>
        <v>-4729.9068426592212</v>
      </c>
      <c r="H13" s="591"/>
      <c r="I13" s="591">
        <f t="shared" ref="I13" ca="1" si="11">SUM(AN13:AY13)</f>
        <v>-8663.9830719091588</v>
      </c>
      <c r="J13" s="591"/>
      <c r="K13" s="591">
        <f t="shared" ref="K13" ca="1" si="12">SUM(AZ13:BK13)</f>
        <v>-13679.494871145356</v>
      </c>
      <c r="L13" s="591"/>
      <c r="M13" s="591">
        <f t="shared" ref="M13" ca="1" si="13">SUM(BL13:BW13)</f>
        <v>-20030.671017417502</v>
      </c>
      <c r="N13" s="591"/>
      <c r="P13" s="34">
        <f ca="1">-Balance!K6</f>
        <v>-300</v>
      </c>
      <c r="Q13" s="34">
        <f ca="1">-Balance!L6</f>
        <v>-300</v>
      </c>
      <c r="R13" s="34">
        <f ca="1">-Balance!M6</f>
        <v>-300</v>
      </c>
      <c r="S13" s="34">
        <f ca="1">-Balance!N6</f>
        <v>-300</v>
      </c>
      <c r="T13" s="34">
        <f ca="1">-Balance!O6</f>
        <v>-300</v>
      </c>
      <c r="U13" s="34">
        <f ca="1">-Balance!P6</f>
        <v>-300</v>
      </c>
      <c r="V13" s="177">
        <f ca="1">-Balance!Q6</f>
        <v>-300</v>
      </c>
      <c r="W13" s="177">
        <f ca="1">-Balance!R6</f>
        <v>-300</v>
      </c>
      <c r="X13" s="177">
        <f ca="1">-Balance!S6</f>
        <v>-300</v>
      </c>
      <c r="Y13" s="177">
        <f ca="1">-Balance!T6</f>
        <v>-300</v>
      </c>
      <c r="Z13" s="177">
        <f ca="1">-Balance!U6</f>
        <v>-300</v>
      </c>
      <c r="AA13" s="32">
        <f ca="1">-Balance!V6</f>
        <v>-300</v>
      </c>
      <c r="AB13" s="34">
        <f ca="1">-Balance!W6</f>
        <v>-300</v>
      </c>
      <c r="AC13" s="177">
        <f ca="1">-Balance!X6</f>
        <v>-300</v>
      </c>
      <c r="AD13" s="177">
        <f ca="1">-Balance!Y6</f>
        <v>-303.91846666011122</v>
      </c>
      <c r="AE13" s="177">
        <f ca="1">-Balance!Z6</f>
        <v>-326.53328673821841</v>
      </c>
      <c r="AF13" s="177">
        <f ca="1">-Balance!AA6</f>
        <v>-349.74816392618061</v>
      </c>
      <c r="AG13" s="177">
        <f ca="1">-Balance!AB6</f>
        <v>-373.56804298258203</v>
      </c>
      <c r="AH13" s="177">
        <f ca="1">-Balance!AC6</f>
        <v>-397.99790816978151</v>
      </c>
      <c r="AI13" s="177">
        <f ca="1">-Balance!AD6</f>
        <v>-423.0427835625851</v>
      </c>
      <c r="AJ13" s="177">
        <f ca="1">-Balance!AE6</f>
        <v>-448.70773335929204</v>
      </c>
      <c r="AK13" s="177">
        <f ca="1">-Balance!AF6</f>
        <v>-474.99786219513004</v>
      </c>
      <c r="AL13" s="177">
        <f ca="1">-Balance!AG6</f>
        <v>-501.91831545809902</v>
      </c>
      <c r="AM13" s="32">
        <f ca="1">-Balance!AH6</f>
        <v>-529.47427960724121</v>
      </c>
      <c r="AN13" s="34">
        <f ca="1">-Balance!AI6</f>
        <v>-556.67531092894365</v>
      </c>
      <c r="AO13" s="177">
        <f ca="1">-Balance!AJ6</f>
        <v>-584.52235055335666</v>
      </c>
      <c r="AP13" s="177">
        <f ca="1">-Balance!AK6</f>
        <v>-613.02071008681446</v>
      </c>
      <c r="AQ13" s="177">
        <f ca="1">-Balance!AL6</f>
        <v>-642.17574350441066</v>
      </c>
      <c r="AR13" s="177">
        <f ca="1">-Balance!AM6</f>
        <v>-671.99284748068033</v>
      </c>
      <c r="AS13" s="177">
        <f ca="1">-Balance!AN6</f>
        <v>-702.47746172282029</v>
      </c>
      <c r="AT13" s="177">
        <f ca="1">-Balance!AO6</f>
        <v>-733.63506930646884</v>
      </c>
      <c r="AU13" s="177">
        <f ca="1">-Balance!AP6</f>
        <v>-765.47119701406234</v>
      </c>
      <c r="AV13" s="177">
        <f ca="1">-Balance!AQ6</f>
        <v>-797.99141567578999</v>
      </c>
      <c r="AW13" s="177">
        <f ca="1">-Balance!AR6</f>
        <v>-831.20134051316381</v>
      </c>
      <c r="AX13" s="177">
        <f ca="1">-Balance!AS6</f>
        <v>-865.10663148522724</v>
      </c>
      <c r="AY13" s="32">
        <f ca="1">-Balance!AT6</f>
        <v>-899.7129936374198</v>
      </c>
      <c r="AZ13" s="34">
        <f ca="1">-Balance!AU6</f>
        <v>-934.00648594061784</v>
      </c>
      <c r="BA13" s="177">
        <f ca="1">-Balance!AV6</f>
        <v>-969.01259618287384</v>
      </c>
      <c r="BB13" s="177">
        <f ca="1">-Balance!AW6</f>
        <v>-1004.7371667888725</v>
      </c>
      <c r="BC13" s="177">
        <f ca="1">-Balance!AX6</f>
        <v>-1041.1860866921247</v>
      </c>
      <c r="BD13" s="177">
        <f ca="1">-Balance!AY6</f>
        <v>-1078.3652916974211</v>
      </c>
      <c r="BE13" s="177">
        <f ca="1">-Balance!AZ6</f>
        <v>-1116.2807648460648</v>
      </c>
      <c r="BF13" s="177">
        <f ca="1">-Balance!BA6</f>
        <v>-1154.9385367839068</v>
      </c>
      <c r="BG13" s="177">
        <f ca="1">-Balance!BB6</f>
        <v>-1194.3446861321995</v>
      </c>
      <c r="BH13" s="177">
        <f ca="1">-Balance!BC6</f>
        <v>-1234.505339861299</v>
      </c>
      <c r="BI13" s="177">
        <f ca="1">-Balance!BD6</f>
        <v>-1275.4266736672284</v>
      </c>
      <c r="BJ13" s="177">
        <f ca="1">-Balance!BE6</f>
        <v>-1317.1149123511286</v>
      </c>
      <c r="BK13" s="32">
        <f ca="1">-Balance!BF6</f>
        <v>-1359.5763302016192</v>
      </c>
      <c r="BL13" s="34">
        <f ca="1">-Balance!BG6</f>
        <v>-1401.7729161804043</v>
      </c>
      <c r="BM13" s="177">
        <f ca="1">-Balance!BH6</f>
        <v>-1444.7553799095672</v>
      </c>
      <c r="BN13" s="177">
        <f ca="1">-Balance!BI6</f>
        <v>-1488.5301464637369</v>
      </c>
      <c r="BO13" s="177">
        <f ca="1">-Balance!BJ6</f>
        <v>-1533.1036919639882</v>
      </c>
      <c r="BP13" s="177">
        <f ca="1">-Balance!BK6</f>
        <v>-1578.4825439750789</v>
      </c>
      <c r="BQ13" s="177">
        <f ca="1">-Balance!BL6</f>
        <v>-1624.6732819057268</v>
      </c>
      <c r="BR13" s="177">
        <f ca="1">-Balance!BM6</f>
        <v>-1680.6825374119576</v>
      </c>
      <c r="BS13" s="177">
        <f ca="1">-Balance!BN6</f>
        <v>-1728.5169948035386</v>
      </c>
      <c r="BT13" s="177">
        <f ca="1">-Balance!BO6</f>
        <v>-1777.1833914535264</v>
      </c>
      <c r="BU13" s="177">
        <f ca="1">-Balance!BP6</f>
        <v>-1873.6885182109522</v>
      </c>
      <c r="BV13" s="177">
        <f ca="1">-Balance!BQ6</f>
        <v>-1924.0392198166646</v>
      </c>
      <c r="BW13" s="32">
        <f ca="1">-Balance!BR6</f>
        <v>-1975.2423953223586</v>
      </c>
    </row>
    <row r="14" spans="1:76" x14ac:dyDescent="0.25">
      <c r="A14" s="40"/>
      <c r="B14" s="40"/>
      <c r="C14" s="185" t="s">
        <v>160</v>
      </c>
      <c r="D14" s="34"/>
      <c r="E14" s="591">
        <f ca="1">AA14</f>
        <v>-857.20722254439693</v>
      </c>
      <c r="F14" s="591"/>
      <c r="G14" s="591">
        <f ca="1">AM14</f>
        <v>-764.05680497345634</v>
      </c>
      <c r="H14" s="591"/>
      <c r="I14" s="591">
        <f ca="1">AY14</f>
        <v>-816.31843409597468</v>
      </c>
      <c r="J14" s="591"/>
      <c r="K14" s="591">
        <f ca="1">BK14</f>
        <v>-872.82080387591486</v>
      </c>
      <c r="L14" s="591"/>
      <c r="M14" s="591">
        <f ca="1">BW14</f>
        <v>-933.90802684144353</v>
      </c>
      <c r="N14" s="591"/>
      <c r="P14" s="34">
        <f ca="1">-Balance!K24</f>
        <v>-718.22288825617181</v>
      </c>
      <c r="Q14" s="34">
        <f ca="1">-Balance!L24</f>
        <v>-927.06384474858385</v>
      </c>
      <c r="R14" s="34">
        <f ca="1">-Balance!M24</f>
        <v>-988.49425789271413</v>
      </c>
      <c r="S14" s="34">
        <f ca="1">-Balance!N24</f>
        <v>-974.9263493706992</v>
      </c>
      <c r="T14" s="34">
        <f ca="1">-Balance!O24</f>
        <v>-960.76326090452221</v>
      </c>
      <c r="U14" s="34">
        <f ca="1">-Balance!P24</f>
        <v>-1001.6518735233565</v>
      </c>
      <c r="V14" s="177">
        <f ca="1">-Balance!Q24</f>
        <v>-983.76981222421944</v>
      </c>
      <c r="W14" s="177">
        <f ca="1">-Balance!R24</f>
        <v>-965.26026154106057</v>
      </c>
      <c r="X14" s="177">
        <f ca="1">-Balance!S24</f>
        <v>-946.11592583332356</v>
      </c>
      <c r="Y14" s="177">
        <f ca="1">-Balance!T24</f>
        <v>-926.3294410539886</v>
      </c>
      <c r="Z14" s="177">
        <f ca="1">-Balance!U24</f>
        <v>-907.49337416441142</v>
      </c>
      <c r="AA14" s="32">
        <f ca="1">-Balance!V24</f>
        <v>-857.20722254439693</v>
      </c>
      <c r="AB14" s="34">
        <f ca="1">-Balance!W24</f>
        <v>-758.88330242553525</v>
      </c>
      <c r="AC14" s="177">
        <f ca="1">-Balance!X24</f>
        <v>-741.53689785462279</v>
      </c>
      <c r="AD14" s="177">
        <f ca="1">-Balance!Y24</f>
        <v>-727.45118510437464</v>
      </c>
      <c r="AE14" s="177">
        <f ca="1">-Balance!Z24</f>
        <v>-731.41350458742852</v>
      </c>
      <c r="AF14" s="177">
        <f ca="1">-Balance!AA24</f>
        <v>-735.40166972865347</v>
      </c>
      <c r="AG14" s="177">
        <f ca="1">-Balance!AB24</f>
        <v>-739.41584911567816</v>
      </c>
      <c r="AH14" s="177">
        <f ca="1">-Balance!AC24</f>
        <v>-743.45621243580536</v>
      </c>
      <c r="AI14" s="177">
        <f ca="1">-Balance!AD24</f>
        <v>-747.52293048318381</v>
      </c>
      <c r="AJ14" s="177">
        <f ca="1">-Balance!AE24</f>
        <v>-751.61617516602939</v>
      </c>
      <c r="AK14" s="177">
        <f ca="1">-Balance!AF24</f>
        <v>-755.73611951389057</v>
      </c>
      <c r="AL14" s="177">
        <f ca="1">-Balance!AG24</f>
        <v>-759.8829376849643</v>
      </c>
      <c r="AM14" s="32">
        <f ca="1">-Balance!AH24</f>
        <v>-764.05680497345634</v>
      </c>
      <c r="AN14" s="34">
        <f ca="1">-Balance!AI24</f>
        <v>-768.2578978169928</v>
      </c>
      <c r="AO14" s="177">
        <f ca="1">-Balance!AJ24</f>
        <v>-772.48639380407769</v>
      </c>
      <c r="AP14" s="177">
        <f ca="1">-Balance!AK24</f>
        <v>-776.74247168160002</v>
      </c>
      <c r="AQ14" s="177">
        <f ca="1">-Balance!AL24</f>
        <v>-781.02631136239006</v>
      </c>
      <c r="AR14" s="177">
        <f ca="1">-Balance!AM24</f>
        <v>-785.33809393282411</v>
      </c>
      <c r="AS14" s="177">
        <f ca="1">-Balance!AN24</f>
        <v>-789.67800166047982</v>
      </c>
      <c r="AT14" s="177">
        <f ca="1">-Balance!AO24</f>
        <v>-794.04621800184066</v>
      </c>
      <c r="AU14" s="177">
        <f ca="1">-Balance!AP24</f>
        <v>-798.4429276100517</v>
      </c>
      <c r="AV14" s="177">
        <f ca="1">-Balance!AQ24</f>
        <v>-802.86831634272414</v>
      </c>
      <c r="AW14" s="177">
        <f ca="1">-Balance!AR24</f>
        <v>-807.32257126979323</v>
      </c>
      <c r="AX14" s="177">
        <f ca="1">-Balance!AS24</f>
        <v>-811.80588068142447</v>
      </c>
      <c r="AY14" s="32">
        <f ca="1">-Balance!AT24</f>
        <v>-816.31843409597468</v>
      </c>
      <c r="AZ14" s="34">
        <f ca="1">-Balance!AU24</f>
        <v>-820.86042226800214</v>
      </c>
      <c r="BA14" s="177">
        <f ca="1">-Balance!AV24</f>
        <v>-825.43203719633073</v>
      </c>
      <c r="BB14" s="177">
        <f ca="1">-Balance!AW24</f>
        <v>-830.03347213216534</v>
      </c>
      <c r="BC14" s="177">
        <f ca="1">-Balance!AX24</f>
        <v>-834.66492158726248</v>
      </c>
      <c r="BD14" s="177">
        <f ca="1">-Balance!AY24</f>
        <v>-839.32658134215103</v>
      </c>
      <c r="BE14" s="177">
        <f ca="1">-Balance!AZ24</f>
        <v>-844.01864845440934</v>
      </c>
      <c r="BF14" s="177">
        <f ca="1">-Balance!BA24</f>
        <v>-848.7413212669951</v>
      </c>
      <c r="BG14" s="177">
        <f ca="1">-Balance!BB24</f>
        <v>-853.49479941662844</v>
      </c>
      <c r="BH14" s="177">
        <f ca="1">-Balance!BC24</f>
        <v>-858.27928384223389</v>
      </c>
      <c r="BI14" s="177">
        <f ca="1">-Balance!BD24</f>
        <v>-863.09497679343076</v>
      </c>
      <c r="BJ14" s="177">
        <f ca="1">-Balance!BE24</f>
        <v>-867.94208183908529</v>
      </c>
      <c r="BK14" s="32">
        <f ca="1">-Balance!BF24</f>
        <v>-872.82080387591486</v>
      </c>
      <c r="BL14" s="34">
        <f ca="1">-Balance!BG24</f>
        <v>-877.73134913715012</v>
      </c>
      <c r="BM14" s="177">
        <f ca="1">-Balance!BH24</f>
        <v>-882.67392520125145</v>
      </c>
      <c r="BN14" s="177">
        <f ca="1">-Balance!BI24</f>
        <v>-887.6487410006855</v>
      </c>
      <c r="BO14" s="177">
        <f ca="1">-Balance!BJ24</f>
        <v>-892.6560068307557</v>
      </c>
      <c r="BP14" s="177">
        <f ca="1">-Balance!BK24</f>
        <v>-897.69593435849322</v>
      </c>
      <c r="BQ14" s="177">
        <f ca="1">-Balance!BL24</f>
        <v>-902.76873663160256</v>
      </c>
      <c r="BR14" s="177">
        <f ca="1">-Balance!BM24</f>
        <v>-907.87462808746989</v>
      </c>
      <c r="BS14" s="177">
        <f ca="1">-Balance!BN24</f>
        <v>-913.0138245622262</v>
      </c>
      <c r="BT14" s="177">
        <f ca="1">-Balance!BO24</f>
        <v>-918.18654329987123</v>
      </c>
      <c r="BU14" s="177">
        <f ca="1">-Balance!BP24</f>
        <v>-923.39300296145734</v>
      </c>
      <c r="BV14" s="177">
        <f ca="1">-Balance!BQ24</f>
        <v>-928.63342363433253</v>
      </c>
      <c r="BW14" s="32">
        <f ca="1">-Balance!BR24</f>
        <v>-933.90802684144353</v>
      </c>
    </row>
    <row r="15" spans="1:76" s="188" customFormat="1" x14ac:dyDescent="0.25">
      <c r="A15" s="40"/>
      <c r="B15" s="40"/>
      <c r="C15" s="186" t="s">
        <v>161</v>
      </c>
      <c r="D15" s="34"/>
      <c r="E15" s="595">
        <f>AA15</f>
        <v>100</v>
      </c>
      <c r="F15" s="595"/>
      <c r="G15" s="595">
        <f>AM15</f>
        <v>120</v>
      </c>
      <c r="H15" s="595"/>
      <c r="I15" s="595">
        <f>AY15</f>
        <v>120</v>
      </c>
      <c r="J15" s="595"/>
      <c r="K15" s="595">
        <f>BK15</f>
        <v>120</v>
      </c>
      <c r="L15" s="595"/>
      <c r="M15" s="595">
        <f>BW15</f>
        <v>120</v>
      </c>
      <c r="N15" s="595"/>
      <c r="P15" s="189">
        <f>Balance!K23</f>
        <v>100</v>
      </c>
      <c r="Q15" s="189">
        <f>Balance!L23</f>
        <v>100</v>
      </c>
      <c r="R15" s="189">
        <f>Balance!M23</f>
        <v>100</v>
      </c>
      <c r="S15" s="189">
        <f>Balance!N23</f>
        <v>100</v>
      </c>
      <c r="T15" s="189">
        <f>Balance!O23</f>
        <v>100</v>
      </c>
      <c r="U15" s="189">
        <f>Balance!P23</f>
        <v>100</v>
      </c>
      <c r="V15" s="190">
        <f>Balance!Q23</f>
        <v>100</v>
      </c>
      <c r="W15" s="190">
        <f>Balance!R23</f>
        <v>100</v>
      </c>
      <c r="X15" s="190">
        <f>Balance!S23</f>
        <v>100</v>
      </c>
      <c r="Y15" s="190">
        <f>Balance!T23</f>
        <v>100</v>
      </c>
      <c r="Z15" s="190">
        <f>Balance!U23</f>
        <v>100</v>
      </c>
      <c r="AA15" s="187">
        <f>Balance!V23</f>
        <v>100</v>
      </c>
      <c r="AB15" s="189">
        <f>Balance!W23</f>
        <v>120</v>
      </c>
      <c r="AC15" s="190">
        <f>Balance!X23</f>
        <v>120</v>
      </c>
      <c r="AD15" s="190">
        <f>Balance!Y23</f>
        <v>120</v>
      </c>
      <c r="AE15" s="190">
        <f>Balance!Z23</f>
        <v>120</v>
      </c>
      <c r="AF15" s="190">
        <f>Balance!AA23</f>
        <v>120</v>
      </c>
      <c r="AG15" s="190">
        <f>Balance!AB23</f>
        <v>120</v>
      </c>
      <c r="AH15" s="190">
        <f>Balance!AC23</f>
        <v>120</v>
      </c>
      <c r="AI15" s="190">
        <f>Balance!AD23</f>
        <v>120</v>
      </c>
      <c r="AJ15" s="190">
        <f>Balance!AE23</f>
        <v>120</v>
      </c>
      <c r="AK15" s="190">
        <f>Balance!AF23</f>
        <v>120</v>
      </c>
      <c r="AL15" s="190">
        <f>Balance!AG23</f>
        <v>120</v>
      </c>
      <c r="AM15" s="187">
        <f>Balance!AH23</f>
        <v>120</v>
      </c>
      <c r="AN15" s="189">
        <f>Balance!AI23</f>
        <v>120</v>
      </c>
      <c r="AO15" s="190">
        <f>Balance!AJ23</f>
        <v>120</v>
      </c>
      <c r="AP15" s="190">
        <f>Balance!AK23</f>
        <v>120</v>
      </c>
      <c r="AQ15" s="190">
        <f>Balance!AL23</f>
        <v>120</v>
      </c>
      <c r="AR15" s="190">
        <f>Balance!AM23</f>
        <v>120</v>
      </c>
      <c r="AS15" s="190">
        <f>Balance!AN23</f>
        <v>120</v>
      </c>
      <c r="AT15" s="190">
        <f>Balance!AO23</f>
        <v>120</v>
      </c>
      <c r="AU15" s="190">
        <f>Balance!AP23</f>
        <v>120</v>
      </c>
      <c r="AV15" s="190">
        <f>Balance!AQ23</f>
        <v>120</v>
      </c>
      <c r="AW15" s="190">
        <f>Balance!AR23</f>
        <v>120</v>
      </c>
      <c r="AX15" s="190">
        <f>Balance!AS23</f>
        <v>120</v>
      </c>
      <c r="AY15" s="187">
        <f>Balance!AT23</f>
        <v>120</v>
      </c>
      <c r="AZ15" s="189">
        <f>Balance!AU23</f>
        <v>120</v>
      </c>
      <c r="BA15" s="190">
        <f>Balance!AV23</f>
        <v>120</v>
      </c>
      <c r="BB15" s="190">
        <f>Balance!AW23</f>
        <v>120</v>
      </c>
      <c r="BC15" s="190">
        <f>Balance!AX23</f>
        <v>120</v>
      </c>
      <c r="BD15" s="190">
        <f>Balance!AY23</f>
        <v>120</v>
      </c>
      <c r="BE15" s="190">
        <f>Balance!AZ23</f>
        <v>120</v>
      </c>
      <c r="BF15" s="190">
        <f>Balance!BA23</f>
        <v>120</v>
      </c>
      <c r="BG15" s="190">
        <f>Balance!BB23</f>
        <v>120</v>
      </c>
      <c r="BH15" s="190">
        <f>Balance!BC23</f>
        <v>120</v>
      </c>
      <c r="BI15" s="190">
        <f>Balance!BD23</f>
        <v>120</v>
      </c>
      <c r="BJ15" s="190">
        <f>Balance!BE23</f>
        <v>120</v>
      </c>
      <c r="BK15" s="187">
        <f>Balance!BF23</f>
        <v>120</v>
      </c>
      <c r="BL15" s="189">
        <f>Balance!BG23</f>
        <v>120</v>
      </c>
      <c r="BM15" s="190">
        <f>Balance!BH23</f>
        <v>120</v>
      </c>
      <c r="BN15" s="190">
        <f>Balance!BI23</f>
        <v>120</v>
      </c>
      <c r="BO15" s="190">
        <f>Balance!BJ23</f>
        <v>120</v>
      </c>
      <c r="BP15" s="190">
        <f>Balance!BK23</f>
        <v>120</v>
      </c>
      <c r="BQ15" s="190">
        <f>Balance!BL23</f>
        <v>120</v>
      </c>
      <c r="BR15" s="190">
        <f>Balance!BM23</f>
        <v>120</v>
      </c>
      <c r="BS15" s="190">
        <f>Balance!BN23</f>
        <v>120</v>
      </c>
      <c r="BT15" s="190">
        <f>Balance!BO23</f>
        <v>120</v>
      </c>
      <c r="BU15" s="190">
        <f>Balance!BP23</f>
        <v>120</v>
      </c>
      <c r="BV15" s="190">
        <f>Balance!BQ23</f>
        <v>120</v>
      </c>
      <c r="BW15" s="187">
        <f>Balance!BR23</f>
        <v>120</v>
      </c>
    </row>
    <row r="16" spans="1:76" x14ac:dyDescent="0.25">
      <c r="A16" s="40"/>
      <c r="B16" s="40"/>
      <c r="C16" s="191" t="s">
        <v>162</v>
      </c>
      <c r="D16" s="34"/>
      <c r="E16" s="596">
        <f t="shared" ref="E16:E19" ca="1" si="14">SUM(P16:AA16)</f>
        <v>-1273.3687231819763</v>
      </c>
      <c r="F16" s="596"/>
      <c r="G16" s="596">
        <f t="shared" ref="G16:G19" ca="1" si="15">SUM(AB16:AM16)</f>
        <v>2218.4297980695037</v>
      </c>
      <c r="H16" s="596"/>
      <c r="I16" s="596">
        <f t="shared" ref="I16:I19" ca="1" si="16">SUM(AN16:AY16)</f>
        <v>2518.2914065698242</v>
      </c>
      <c r="J16" s="596"/>
      <c r="K16" s="596">
        <f t="shared" ref="K16:K19" ca="1" si="17">SUM(AZ16:BK16)</f>
        <v>2785.6136498275946</v>
      </c>
      <c r="L16" s="596"/>
      <c r="M16" s="596">
        <f t="shared" ref="M16:M19" ca="1" si="18">SUM(BL16:BW16)</f>
        <v>3080.1539678460017</v>
      </c>
      <c r="N16" s="596"/>
      <c r="P16" s="34">
        <f t="shared" ref="P16:BW16" ca="1" si="19">SUM(P12:P15)</f>
        <v>-146.55791767506082</v>
      </c>
      <c r="Q16" s="34">
        <f t="shared" ca="1" si="19"/>
        <v>-128.68518860364713</v>
      </c>
      <c r="R16" s="34">
        <f t="shared" ca="1" si="19"/>
        <v>-160.41463664343496</v>
      </c>
      <c r="S16" s="34">
        <f t="shared" ca="1" si="19"/>
        <v>-141.76282931097467</v>
      </c>
      <c r="T16" s="34">
        <f t="shared" ca="1" si="19"/>
        <v>-122.48032590793628</v>
      </c>
      <c r="U16" s="34">
        <f t="shared" ca="1" si="19"/>
        <v>-158.21375923458777</v>
      </c>
      <c r="V16" s="177">
        <f t="shared" ca="1" si="19"/>
        <v>-135.14050432338047</v>
      </c>
      <c r="W16" s="177">
        <f t="shared" ca="1" si="19"/>
        <v>-111.40349399589354</v>
      </c>
      <c r="X16" s="177">
        <f t="shared" ca="1" si="19"/>
        <v>-86.995179139172592</v>
      </c>
      <c r="Y16" s="177">
        <f t="shared" ca="1" si="19"/>
        <v>-61.907940461459248</v>
      </c>
      <c r="Z16" s="177">
        <f t="shared" ca="1" si="19"/>
        <v>-37.734087894631671</v>
      </c>
      <c r="AA16" s="32">
        <f t="shared" ca="1" si="19"/>
        <v>17.927140008202969</v>
      </c>
      <c r="AB16" s="34">
        <f t="shared" ca="1" si="19"/>
        <v>141.66368765194807</v>
      </c>
      <c r="AC16" s="177">
        <f t="shared" ca="1" si="19"/>
        <v>164.46053344875349</v>
      </c>
      <c r="AD16" s="177">
        <f t="shared" ca="1" si="19"/>
        <v>184.03476542005285</v>
      </c>
      <c r="AE16" s="177">
        <f t="shared" ca="1" si="19"/>
        <v>185.5993092953961</v>
      </c>
      <c r="AF16" s="177">
        <f t="shared" ca="1" si="19"/>
        <v>187.17661965306866</v>
      </c>
      <c r="AG16" s="177">
        <f t="shared" ca="1" si="19"/>
        <v>188.76679778258199</v>
      </c>
      <c r="AH16" s="177">
        <f t="shared" ca="1" si="19"/>
        <v>190.36994576086499</v>
      </c>
      <c r="AI16" s="177">
        <f t="shared" ca="1" si="19"/>
        <v>191.98616645829645</v>
      </c>
      <c r="AJ16" s="177">
        <f t="shared" ca="1" si="19"/>
        <v>193.61556354477432</v>
      </c>
      <c r="AK16" s="177">
        <f t="shared" ca="1" si="19"/>
        <v>195.2582414958365</v>
      </c>
      <c r="AL16" s="177">
        <f t="shared" ca="1" si="19"/>
        <v>196.91430559882599</v>
      </c>
      <c r="AM16" s="32">
        <f t="shared" ca="1" si="19"/>
        <v>198.5838619591043</v>
      </c>
      <c r="AN16" s="34">
        <f t="shared" ca="1" si="19"/>
        <v>200.26701750630707</v>
      </c>
      <c r="AO16" s="177">
        <f t="shared" ca="1" si="19"/>
        <v>201.96388000065372</v>
      </c>
      <c r="AP16" s="177">
        <f t="shared" ca="1" si="19"/>
        <v>203.67455803929931</v>
      </c>
      <c r="AQ16" s="177">
        <f t="shared" ca="1" si="19"/>
        <v>205.39916106273733</v>
      </c>
      <c r="AR16" s="177">
        <f t="shared" ca="1" si="19"/>
        <v>207.13779936125138</v>
      </c>
      <c r="AS16" s="177">
        <f t="shared" ca="1" si="19"/>
        <v>208.89058408141102</v>
      </c>
      <c r="AT16" s="177">
        <f t="shared" ca="1" si="19"/>
        <v>210.65762723262378</v>
      </c>
      <c r="AU16" s="177">
        <f t="shared" ca="1" si="19"/>
        <v>212.43904169373081</v>
      </c>
      <c r="AV16" s="177">
        <f t="shared" ca="1" si="19"/>
        <v>214.23494121965371</v>
      </c>
      <c r="AW16" s="177">
        <f t="shared" ca="1" si="19"/>
        <v>216.04544044809461</v>
      </c>
      <c r="AX16" s="177">
        <f t="shared" ca="1" si="19"/>
        <v>217.87065490628368</v>
      </c>
      <c r="AY16" s="32">
        <f t="shared" ca="1" si="19"/>
        <v>219.71070101777798</v>
      </c>
      <c r="AZ16" s="34">
        <f t="shared" ca="1" si="19"/>
        <v>221.56569610931263</v>
      </c>
      <c r="BA16" s="177">
        <f t="shared" ca="1" si="19"/>
        <v>223.43575841770325</v>
      </c>
      <c r="BB16" s="177">
        <f t="shared" ca="1" si="19"/>
        <v>225.32100709680174</v>
      </c>
      <c r="BC16" s="177">
        <f t="shared" ca="1" si="19"/>
        <v>227.22156222450201</v>
      </c>
      <c r="BD16" s="177">
        <f t="shared" ca="1" si="19"/>
        <v>229.13754480979992</v>
      </c>
      <c r="BE16" s="177">
        <f t="shared" ca="1" si="19"/>
        <v>231.06907679990888</v>
      </c>
      <c r="BF16" s="177">
        <f t="shared" ca="1" si="19"/>
        <v>233.0162810874242</v>
      </c>
      <c r="BG16" s="177">
        <f t="shared" ca="1" si="19"/>
        <v>234.97928151754718</v>
      </c>
      <c r="BH16" s="177">
        <f t="shared" ca="1" si="19"/>
        <v>236.95820289535857</v>
      </c>
      <c r="BI16" s="177">
        <f t="shared" ca="1" si="19"/>
        <v>238.95317099315025</v>
      </c>
      <c r="BJ16" s="177">
        <f t="shared" ca="1" si="19"/>
        <v>240.96431255781283</v>
      </c>
      <c r="BK16" s="32">
        <f t="shared" ca="1" si="19"/>
        <v>242.99175531827336</v>
      </c>
      <c r="BL16" s="34">
        <f t="shared" ca="1" si="19"/>
        <v>245.03562799299766</v>
      </c>
      <c r="BM16" s="177">
        <f t="shared" ca="1" si="19"/>
        <v>247.09606029754354</v>
      </c>
      <c r="BN16" s="177">
        <f t="shared" ca="1" si="19"/>
        <v>249.17318295217069</v>
      </c>
      <c r="BO16" s="177">
        <f t="shared" ca="1" si="19"/>
        <v>251.26712768951313</v>
      </c>
      <c r="BP16" s="177">
        <f t="shared" ca="1" si="19"/>
        <v>253.37802726230063</v>
      </c>
      <c r="BQ16" s="177">
        <f t="shared" ca="1" si="19"/>
        <v>255.50601545115148</v>
      </c>
      <c r="BR16" s="177">
        <f t="shared" ca="1" si="19"/>
        <v>257.65122707240869</v>
      </c>
      <c r="BS16" s="177">
        <f t="shared" ca="1" si="19"/>
        <v>259.81379798605064</v>
      </c>
      <c r="BT16" s="177">
        <f t="shared" ca="1" si="19"/>
        <v>261.99386510364582</v>
      </c>
      <c r="BU16" s="177">
        <f t="shared" ca="1" si="19"/>
        <v>264.19156639638345</v>
      </c>
      <c r="BV16" s="177">
        <f t="shared" ca="1" si="19"/>
        <v>266.40704090315171</v>
      </c>
      <c r="BW16" s="32">
        <f t="shared" ca="1" si="19"/>
        <v>268.64042873868345</v>
      </c>
    </row>
    <row r="17" spans="1:75" x14ac:dyDescent="0.25">
      <c r="A17" s="13"/>
      <c r="B17" s="40"/>
      <c r="C17" s="192" t="s">
        <v>163</v>
      </c>
      <c r="D17" s="34"/>
      <c r="E17" s="594">
        <f t="shared" ca="1" si="14"/>
        <v>17.927140008202969</v>
      </c>
      <c r="F17" s="594"/>
      <c r="G17" s="594">
        <f t="shared" ca="1" si="15"/>
        <v>180.65672195090133</v>
      </c>
      <c r="H17" s="594"/>
      <c r="I17" s="594">
        <f t="shared" ca="1" si="16"/>
        <v>21.126839058673681</v>
      </c>
      <c r="J17" s="594"/>
      <c r="K17" s="594">
        <f t="shared" ca="1" si="17"/>
        <v>23.281054300495384</v>
      </c>
      <c r="L17" s="594"/>
      <c r="M17" s="594">
        <f t="shared" ca="1" si="18"/>
        <v>25.648673420410091</v>
      </c>
      <c r="N17" s="594"/>
      <c r="P17" s="193">
        <f ca="1">P16</f>
        <v>-146.55791767506082</v>
      </c>
      <c r="Q17" s="193">
        <f t="shared" ref="Q17:BW17" ca="1" si="20">Q16-P16</f>
        <v>17.872729071413687</v>
      </c>
      <c r="R17" s="193">
        <f t="shared" ca="1" si="20"/>
        <v>-31.729448039787826</v>
      </c>
      <c r="S17" s="193">
        <f t="shared" ca="1" si="20"/>
        <v>18.651807332460294</v>
      </c>
      <c r="T17" s="193">
        <f t="shared" ca="1" si="20"/>
        <v>19.28250340303839</v>
      </c>
      <c r="U17" s="193">
        <f t="shared" ca="1" si="20"/>
        <v>-35.733433326651493</v>
      </c>
      <c r="V17" s="179">
        <f t="shared" ca="1" si="20"/>
        <v>23.0732549112073</v>
      </c>
      <c r="W17" s="179">
        <f t="shared" ca="1" si="20"/>
        <v>23.737010327486928</v>
      </c>
      <c r="X17" s="179">
        <f t="shared" ca="1" si="20"/>
        <v>24.408314856720949</v>
      </c>
      <c r="Y17" s="179">
        <f t="shared" ca="1" si="20"/>
        <v>25.087238677713344</v>
      </c>
      <c r="Z17" s="179">
        <f t="shared" ca="1" si="20"/>
        <v>24.173852566827577</v>
      </c>
      <c r="AA17" s="194">
        <f t="shared" ca="1" si="20"/>
        <v>55.661227902834639</v>
      </c>
      <c r="AB17" s="179">
        <f t="shared" ca="1" si="20"/>
        <v>123.7365476437451</v>
      </c>
      <c r="AC17" s="179">
        <f t="shared" ca="1" si="20"/>
        <v>22.796845796805428</v>
      </c>
      <c r="AD17" s="179">
        <f t="shared" ca="1" si="20"/>
        <v>19.574231971299355</v>
      </c>
      <c r="AE17" s="179">
        <f t="shared" ca="1" si="20"/>
        <v>1.5645438753432472</v>
      </c>
      <c r="AF17" s="179">
        <f t="shared" ca="1" si="20"/>
        <v>1.5773103576725589</v>
      </c>
      <c r="AG17" s="179">
        <f t="shared" ca="1" si="20"/>
        <v>1.5901781295133333</v>
      </c>
      <c r="AH17" s="179">
        <f t="shared" ca="1" si="20"/>
        <v>1.6031479782830047</v>
      </c>
      <c r="AI17" s="179">
        <f t="shared" ca="1" si="20"/>
        <v>1.6162206974314586</v>
      </c>
      <c r="AJ17" s="179">
        <f t="shared" ca="1" si="20"/>
        <v>1.6293970864778657</v>
      </c>
      <c r="AK17" s="179">
        <f t="shared" ca="1" si="20"/>
        <v>1.6426779510621827</v>
      </c>
      <c r="AL17" s="179">
        <f t="shared" ca="1" si="20"/>
        <v>1.6560641029894896</v>
      </c>
      <c r="AM17" s="194">
        <f t="shared" ca="1" si="20"/>
        <v>1.6695563602783068</v>
      </c>
      <c r="AN17" s="179">
        <f t="shared" ca="1" si="20"/>
        <v>1.6831555472027731</v>
      </c>
      <c r="AO17" s="179">
        <f t="shared" ca="1" si="20"/>
        <v>1.6968624943466466</v>
      </c>
      <c r="AP17" s="179">
        <f t="shared" ca="1" si="20"/>
        <v>1.7106780386455966</v>
      </c>
      <c r="AQ17" s="179">
        <f t="shared" ca="1" si="20"/>
        <v>1.7246030234380214</v>
      </c>
      <c r="AR17" s="179">
        <f t="shared" ca="1" si="20"/>
        <v>1.7386382985140472</v>
      </c>
      <c r="AS17" s="179">
        <f t="shared" ca="1" si="20"/>
        <v>1.7527847201596387</v>
      </c>
      <c r="AT17" s="179">
        <f t="shared" ca="1" si="20"/>
        <v>1.7670431512127607</v>
      </c>
      <c r="AU17" s="179">
        <f t="shared" ca="1" si="20"/>
        <v>1.7814144611070333</v>
      </c>
      <c r="AV17" s="179">
        <f t="shared" ca="1" si="20"/>
        <v>1.7958995259228914</v>
      </c>
      <c r="AW17" s="179">
        <f t="shared" ca="1" si="20"/>
        <v>1.8104992284409036</v>
      </c>
      <c r="AX17" s="179">
        <f t="shared" ca="1" si="20"/>
        <v>1.8252144581890661</v>
      </c>
      <c r="AY17" s="194">
        <f t="shared" ca="1" si="20"/>
        <v>1.8400461114943027</v>
      </c>
      <c r="AZ17" s="179">
        <f t="shared" ca="1" si="20"/>
        <v>1.8549950915346471</v>
      </c>
      <c r="BA17" s="179">
        <f t="shared" ca="1" si="20"/>
        <v>1.8700623083906294</v>
      </c>
      <c r="BB17" s="179">
        <f t="shared" ca="1" si="20"/>
        <v>1.8852486790984813</v>
      </c>
      <c r="BC17" s="179">
        <f t="shared" ca="1" si="20"/>
        <v>1.9005551277002724</v>
      </c>
      <c r="BD17" s="179">
        <f t="shared" ca="1" si="20"/>
        <v>1.9159825852979111</v>
      </c>
      <c r="BE17" s="179">
        <f t="shared" ca="1" si="20"/>
        <v>1.9315319901089651</v>
      </c>
      <c r="BF17" s="179">
        <f t="shared" ca="1" si="20"/>
        <v>1.9472042875153193</v>
      </c>
      <c r="BG17" s="179">
        <f t="shared" ca="1" si="20"/>
        <v>1.9630004301229746</v>
      </c>
      <c r="BH17" s="179">
        <f t="shared" ca="1" si="20"/>
        <v>1.978921377811389</v>
      </c>
      <c r="BI17" s="179">
        <f t="shared" ca="1" si="20"/>
        <v>1.9949680977916842</v>
      </c>
      <c r="BJ17" s="179">
        <f t="shared" ca="1" si="20"/>
        <v>2.0111415646625801</v>
      </c>
      <c r="BK17" s="194">
        <f t="shared" ca="1" si="20"/>
        <v>2.0274427604605307</v>
      </c>
      <c r="BL17" s="179">
        <f t="shared" ca="1" si="20"/>
        <v>2.0438726747242981</v>
      </c>
      <c r="BM17" s="179">
        <f t="shared" ca="1" si="20"/>
        <v>2.0604323045458841</v>
      </c>
      <c r="BN17" s="179">
        <f t="shared" ca="1" si="20"/>
        <v>2.0771226546271464</v>
      </c>
      <c r="BO17" s="179">
        <f t="shared" ca="1" si="20"/>
        <v>2.09394473734244</v>
      </c>
      <c r="BP17" s="179">
        <f t="shared" ca="1" si="20"/>
        <v>2.1108995727875026</v>
      </c>
      <c r="BQ17" s="179">
        <f t="shared" ca="1" si="20"/>
        <v>2.1279881888508498</v>
      </c>
      <c r="BR17" s="179">
        <f t="shared" ca="1" si="20"/>
        <v>2.1452116212572037</v>
      </c>
      <c r="BS17" s="179">
        <f t="shared" ca="1" si="20"/>
        <v>2.1625709136419573</v>
      </c>
      <c r="BT17" s="179">
        <f t="shared" ca="1" si="20"/>
        <v>2.180067117595172</v>
      </c>
      <c r="BU17" s="179">
        <f t="shared" ca="1" si="20"/>
        <v>2.1977012927376336</v>
      </c>
      <c r="BV17" s="179">
        <f t="shared" ca="1" si="20"/>
        <v>2.2154745067682597</v>
      </c>
      <c r="BW17" s="194">
        <f t="shared" ca="1" si="20"/>
        <v>2.2333878355317438</v>
      </c>
    </row>
    <row r="18" spans="1:75" x14ac:dyDescent="0.25">
      <c r="A18" s="13"/>
      <c r="B18" s="40"/>
      <c r="C18" s="195" t="s">
        <v>164</v>
      </c>
      <c r="D18" s="34"/>
      <c r="E18" s="593">
        <f t="shared" ca="1" si="14"/>
        <v>-17.927140008202969</v>
      </c>
      <c r="F18" s="593"/>
      <c r="G18" s="593">
        <f t="shared" ca="1" si="15"/>
        <v>-180.65672195090133</v>
      </c>
      <c r="H18" s="593"/>
      <c r="I18" s="593">
        <f t="shared" ca="1" si="16"/>
        <v>-21.126839058673681</v>
      </c>
      <c r="J18" s="593"/>
      <c r="K18" s="593">
        <f t="shared" ca="1" si="17"/>
        <v>-23.281054300495384</v>
      </c>
      <c r="L18" s="593"/>
      <c r="M18" s="593">
        <f t="shared" ca="1" si="18"/>
        <v>-25.648673420410091</v>
      </c>
      <c r="N18" s="593"/>
      <c r="P18" s="218">
        <f t="shared" ref="P18:BW18" ca="1" si="21">-P17</f>
        <v>146.55791767506082</v>
      </c>
      <c r="Q18" s="218">
        <f t="shared" ca="1" si="21"/>
        <v>-17.872729071413687</v>
      </c>
      <c r="R18" s="218">
        <f t="shared" ca="1" si="21"/>
        <v>31.729448039787826</v>
      </c>
      <c r="S18" s="218">
        <f t="shared" ca="1" si="21"/>
        <v>-18.651807332460294</v>
      </c>
      <c r="T18" s="218">
        <f t="shared" ca="1" si="21"/>
        <v>-19.28250340303839</v>
      </c>
      <c r="U18" s="218">
        <f t="shared" ca="1" si="21"/>
        <v>35.733433326651493</v>
      </c>
      <c r="V18" s="467">
        <f t="shared" ca="1" si="21"/>
        <v>-23.0732549112073</v>
      </c>
      <c r="W18" s="467">
        <f t="shared" ca="1" si="21"/>
        <v>-23.737010327486928</v>
      </c>
      <c r="X18" s="467">
        <f t="shared" ca="1" si="21"/>
        <v>-24.408314856720949</v>
      </c>
      <c r="Y18" s="467">
        <f t="shared" ca="1" si="21"/>
        <v>-25.087238677713344</v>
      </c>
      <c r="Z18" s="467">
        <f t="shared" ca="1" si="21"/>
        <v>-24.173852566827577</v>
      </c>
      <c r="AA18" s="467">
        <f t="shared" ca="1" si="21"/>
        <v>-55.661227902834639</v>
      </c>
      <c r="AB18" s="467">
        <f t="shared" ca="1" si="21"/>
        <v>-123.7365476437451</v>
      </c>
      <c r="AC18" s="467">
        <f t="shared" ca="1" si="21"/>
        <v>-22.796845796805428</v>
      </c>
      <c r="AD18" s="467">
        <f t="shared" ca="1" si="21"/>
        <v>-19.574231971299355</v>
      </c>
      <c r="AE18" s="467">
        <f t="shared" ca="1" si="21"/>
        <v>-1.5645438753432472</v>
      </c>
      <c r="AF18" s="467">
        <f t="shared" ca="1" si="21"/>
        <v>-1.5773103576725589</v>
      </c>
      <c r="AG18" s="467">
        <f t="shared" ca="1" si="21"/>
        <v>-1.5901781295133333</v>
      </c>
      <c r="AH18" s="467">
        <f t="shared" ca="1" si="21"/>
        <v>-1.6031479782830047</v>
      </c>
      <c r="AI18" s="467">
        <f t="shared" ca="1" si="21"/>
        <v>-1.6162206974314586</v>
      </c>
      <c r="AJ18" s="467">
        <f t="shared" ca="1" si="21"/>
        <v>-1.6293970864778657</v>
      </c>
      <c r="AK18" s="467">
        <f t="shared" ca="1" si="21"/>
        <v>-1.6426779510621827</v>
      </c>
      <c r="AL18" s="467">
        <f t="shared" ca="1" si="21"/>
        <v>-1.6560641029894896</v>
      </c>
      <c r="AM18" s="467">
        <f t="shared" ca="1" si="21"/>
        <v>-1.6695563602783068</v>
      </c>
      <c r="AN18" s="467">
        <f t="shared" ca="1" si="21"/>
        <v>-1.6831555472027731</v>
      </c>
      <c r="AO18" s="467">
        <f t="shared" ca="1" si="21"/>
        <v>-1.6968624943466466</v>
      </c>
      <c r="AP18" s="467">
        <f t="shared" ca="1" si="21"/>
        <v>-1.7106780386455966</v>
      </c>
      <c r="AQ18" s="467">
        <f t="shared" ca="1" si="21"/>
        <v>-1.7246030234380214</v>
      </c>
      <c r="AR18" s="467">
        <f t="shared" ca="1" si="21"/>
        <v>-1.7386382985140472</v>
      </c>
      <c r="AS18" s="467">
        <f t="shared" ca="1" si="21"/>
        <v>-1.7527847201596387</v>
      </c>
      <c r="AT18" s="467">
        <f t="shared" ca="1" si="21"/>
        <v>-1.7670431512127607</v>
      </c>
      <c r="AU18" s="467">
        <f t="shared" ca="1" si="21"/>
        <v>-1.7814144611070333</v>
      </c>
      <c r="AV18" s="467">
        <f t="shared" ca="1" si="21"/>
        <v>-1.7958995259228914</v>
      </c>
      <c r="AW18" s="467">
        <f t="shared" ca="1" si="21"/>
        <v>-1.8104992284409036</v>
      </c>
      <c r="AX18" s="467">
        <f t="shared" ca="1" si="21"/>
        <v>-1.8252144581890661</v>
      </c>
      <c r="AY18" s="467">
        <f t="shared" ca="1" si="21"/>
        <v>-1.8400461114943027</v>
      </c>
      <c r="AZ18" s="467">
        <f t="shared" ca="1" si="21"/>
        <v>-1.8549950915346471</v>
      </c>
      <c r="BA18" s="467">
        <f t="shared" ca="1" si="21"/>
        <v>-1.8700623083906294</v>
      </c>
      <c r="BB18" s="467">
        <f t="shared" ca="1" si="21"/>
        <v>-1.8852486790984813</v>
      </c>
      <c r="BC18" s="467">
        <f t="shared" ca="1" si="21"/>
        <v>-1.9005551277002724</v>
      </c>
      <c r="BD18" s="467">
        <f t="shared" ca="1" si="21"/>
        <v>-1.9159825852979111</v>
      </c>
      <c r="BE18" s="467">
        <f t="shared" ca="1" si="21"/>
        <v>-1.9315319901089651</v>
      </c>
      <c r="BF18" s="467">
        <f t="shared" ca="1" si="21"/>
        <v>-1.9472042875153193</v>
      </c>
      <c r="BG18" s="467">
        <f t="shared" ca="1" si="21"/>
        <v>-1.9630004301229746</v>
      </c>
      <c r="BH18" s="467">
        <f t="shared" ca="1" si="21"/>
        <v>-1.978921377811389</v>
      </c>
      <c r="BI18" s="467">
        <f t="shared" ca="1" si="21"/>
        <v>-1.9949680977916842</v>
      </c>
      <c r="BJ18" s="467">
        <f t="shared" ca="1" si="21"/>
        <v>-2.0111415646625801</v>
      </c>
      <c r="BK18" s="467">
        <f t="shared" ca="1" si="21"/>
        <v>-2.0274427604605307</v>
      </c>
      <c r="BL18" s="467">
        <f t="shared" ca="1" si="21"/>
        <v>-2.0438726747242981</v>
      </c>
      <c r="BM18" s="467">
        <f t="shared" ca="1" si="21"/>
        <v>-2.0604323045458841</v>
      </c>
      <c r="BN18" s="467">
        <f t="shared" ca="1" si="21"/>
        <v>-2.0771226546271464</v>
      </c>
      <c r="BO18" s="467">
        <f t="shared" ca="1" si="21"/>
        <v>-2.09394473734244</v>
      </c>
      <c r="BP18" s="467">
        <f t="shared" ca="1" si="21"/>
        <v>-2.1108995727875026</v>
      </c>
      <c r="BQ18" s="467">
        <f t="shared" ca="1" si="21"/>
        <v>-2.1279881888508498</v>
      </c>
      <c r="BR18" s="467">
        <f t="shared" ca="1" si="21"/>
        <v>-2.1452116212572037</v>
      </c>
      <c r="BS18" s="467">
        <f t="shared" ca="1" si="21"/>
        <v>-2.1625709136419573</v>
      </c>
      <c r="BT18" s="467">
        <f t="shared" ca="1" si="21"/>
        <v>-2.180067117595172</v>
      </c>
      <c r="BU18" s="467">
        <f t="shared" ca="1" si="21"/>
        <v>-2.1977012927376336</v>
      </c>
      <c r="BV18" s="467">
        <f t="shared" ca="1" si="21"/>
        <v>-2.2154745067682597</v>
      </c>
      <c r="BW18" s="467">
        <f t="shared" ca="1" si="21"/>
        <v>-2.2333878355317438</v>
      </c>
    </row>
    <row r="19" spans="1:75" s="175" customFormat="1" x14ac:dyDescent="0.25">
      <c r="A19" s="40"/>
      <c r="B19" s="40"/>
      <c r="C19" s="196" t="s">
        <v>154</v>
      </c>
      <c r="D19" s="34"/>
      <c r="E19" s="584">
        <f t="shared" ca="1" si="14"/>
        <v>71.902171782054666</v>
      </c>
      <c r="F19" s="584"/>
      <c r="G19" s="584">
        <f t="shared" ca="1" si="15"/>
        <v>136.9692004972334</v>
      </c>
      <c r="H19" s="584"/>
      <c r="I19" s="584">
        <f t="shared" ca="1" si="16"/>
        <v>378.84871403017854</v>
      </c>
      <c r="J19" s="584"/>
      <c r="K19" s="584">
        <f t="shared" ca="1" si="17"/>
        <v>468.47333656419903</v>
      </c>
      <c r="L19" s="584"/>
      <c r="M19" s="584">
        <f t="shared" ca="1" si="18"/>
        <v>568.27606512073817</v>
      </c>
      <c r="N19" s="584"/>
      <c r="P19" s="197">
        <f t="shared" ref="P19:BW19" ca="1" si="22">SUM(P9:P11,P18)</f>
        <v>125.41374999999999</v>
      </c>
      <c r="Q19" s="197">
        <f t="shared" ca="1" si="22"/>
        <v>1.5248642612445451</v>
      </c>
      <c r="R19" s="197">
        <f t="shared" ca="1" si="22"/>
        <v>1.6732802349463967</v>
      </c>
      <c r="S19" s="197">
        <f t="shared" ca="1" si="22"/>
        <v>1.8427774287285494</v>
      </c>
      <c r="T19" s="197">
        <f t="shared" ca="1" si="22"/>
        <v>1.7673837570041933</v>
      </c>
      <c r="U19" s="198">
        <f t="shared" ca="1" si="22"/>
        <v>-39.799648012488902</v>
      </c>
      <c r="V19" s="175">
        <f t="shared" ca="1" si="22"/>
        <v>1.9581753350221938</v>
      </c>
      <c r="W19" s="175">
        <f t="shared" ca="1" si="22"/>
        <v>1.8635914297531286</v>
      </c>
      <c r="X19" s="175">
        <f t="shared" ca="1" si="22"/>
        <v>1.7661556103932412</v>
      </c>
      <c r="Y19" s="175">
        <f t="shared" ca="1" si="22"/>
        <v>1.6658352628637942</v>
      </c>
      <c r="Z19" s="175">
        <f t="shared" ca="1" si="22"/>
        <v>1.5625974692710223</v>
      </c>
      <c r="AA19" s="175">
        <f t="shared" ca="1" si="22"/>
        <v>-29.336590994683458</v>
      </c>
      <c r="AB19" s="175">
        <f t="shared" ca="1" si="22"/>
        <v>-100.64827641997286</v>
      </c>
      <c r="AC19" s="175">
        <f t="shared" ca="1" si="22"/>
        <v>0.88934951090828918</v>
      </c>
      <c r="AD19" s="175">
        <f t="shared" ca="1" si="22"/>
        <v>4.7148144591682239</v>
      </c>
      <c r="AE19" s="175">
        <f t="shared" ca="1" si="22"/>
        <v>23.33232007810707</v>
      </c>
      <c r="AF19" s="175">
        <f t="shared" ca="1" si="22"/>
        <v>23.932377187962373</v>
      </c>
      <c r="AG19" s="175">
        <f t="shared" ca="1" si="22"/>
        <v>24.537379056401004</v>
      </c>
      <c r="AH19" s="175">
        <f t="shared" ca="1" si="22"/>
        <v>25.147365187199647</v>
      </c>
      <c r="AI19" s="175">
        <f t="shared" ca="1" si="22"/>
        <v>25.762375392803495</v>
      </c>
      <c r="AJ19" s="175">
        <f t="shared" ca="1" si="22"/>
        <v>26.382449796706847</v>
      </c>
      <c r="AK19" s="175">
        <f t="shared" ca="1" si="22"/>
        <v>27.007628835838041</v>
      </c>
      <c r="AL19" s="175">
        <f t="shared" ca="1" si="22"/>
        <v>27.637953262969294</v>
      </c>
      <c r="AM19" s="175">
        <f t="shared" ca="1" si="22"/>
        <v>28.273464149141962</v>
      </c>
      <c r="AN19" s="175">
        <f t="shared" ca="1" si="22"/>
        <v>27.918531321702559</v>
      </c>
      <c r="AO19" s="175">
        <f t="shared" ca="1" si="22"/>
        <v>28.564539624412756</v>
      </c>
      <c r="AP19" s="175">
        <f t="shared" ca="1" si="22"/>
        <v>29.215859533457682</v>
      </c>
      <c r="AQ19" s="175">
        <f t="shared" ca="1" si="22"/>
        <v>29.872533417596522</v>
      </c>
      <c r="AR19" s="175">
        <f t="shared" ca="1" si="22"/>
        <v>30.534603976269338</v>
      </c>
      <c r="AS19" s="175">
        <f t="shared" ca="1" si="22"/>
        <v>31.202114242140212</v>
      </c>
      <c r="AT19" s="175">
        <f t="shared" ca="1" si="22"/>
        <v>31.875107583648642</v>
      </c>
      <c r="AU19" s="175">
        <f t="shared" ca="1" si="22"/>
        <v>32.553627707593272</v>
      </c>
      <c r="AV19" s="175">
        <f t="shared" ca="1" si="22"/>
        <v>33.237718661727598</v>
      </c>
      <c r="AW19" s="175">
        <f t="shared" ca="1" si="22"/>
        <v>33.927424837373991</v>
      </c>
      <c r="AX19" s="175">
        <f t="shared" ca="1" si="22"/>
        <v>34.622790972063541</v>
      </c>
      <c r="AY19" s="175">
        <f t="shared" ca="1" si="22"/>
        <v>35.323862152192461</v>
      </c>
      <c r="AZ19" s="175">
        <f t="shared" ca="1" si="22"/>
        <v>35.010992303197966</v>
      </c>
      <c r="BA19" s="175">
        <f t="shared" ca="1" si="22"/>
        <v>35.723610242256356</v>
      </c>
      <c r="BB19" s="175">
        <f t="shared" ca="1" si="22"/>
        <v>36.442070605998701</v>
      </c>
      <c r="BC19" s="175">
        <f t="shared" ca="1" si="22"/>
        <v>37.166419903251807</v>
      </c>
      <c r="BD19" s="175">
        <f t="shared" ca="1" si="22"/>
        <v>37.896705005296297</v>
      </c>
      <c r="BE19" s="175">
        <f t="shared" ca="1" si="22"/>
        <v>38.632973148643543</v>
      </c>
      <c r="BF19" s="175">
        <f t="shared" ca="1" si="22"/>
        <v>39.375271937841816</v>
      </c>
      <c r="BG19" s="175">
        <f t="shared" ca="1" si="22"/>
        <v>40.123649348292702</v>
      </c>
      <c r="BH19" s="175">
        <f t="shared" ca="1" si="22"/>
        <v>40.878153729099608</v>
      </c>
      <c r="BI19" s="175">
        <f t="shared" ca="1" si="22"/>
        <v>41.638833805929735</v>
      </c>
      <c r="BJ19" s="175">
        <f t="shared" ca="1" si="22"/>
        <v>42.405738683899841</v>
      </c>
      <c r="BK19" s="175">
        <f t="shared" ca="1" si="22"/>
        <v>43.178917850490606</v>
      </c>
      <c r="BL19" s="175">
        <f t="shared" ca="1" si="22"/>
        <v>42.914085978785479</v>
      </c>
      <c r="BM19" s="175">
        <f t="shared" ca="1" si="22"/>
        <v>43.699963729162533</v>
      </c>
      <c r="BN19" s="175">
        <f t="shared" ca="1" si="22"/>
        <v>44.492266554169689</v>
      </c>
      <c r="BO19" s="175">
        <f t="shared" ca="1" si="22"/>
        <v>45.291045500250561</v>
      </c>
      <c r="BP19" s="175">
        <f t="shared" ca="1" si="22"/>
        <v>46.096352011090723</v>
      </c>
      <c r="BQ19" s="175">
        <f t="shared" ca="1" si="22"/>
        <v>46.908237930647488</v>
      </c>
      <c r="BR19" s="175">
        <f t="shared" ca="1" si="22"/>
        <v>47.726755506231299</v>
      </c>
      <c r="BS19" s="175">
        <f t="shared" ca="1" si="22"/>
        <v>48.55195739158038</v>
      </c>
      <c r="BT19" s="175">
        <f t="shared" ca="1" si="22"/>
        <v>49.383896649988451</v>
      </c>
      <c r="BU19" s="175">
        <f t="shared" ca="1" si="22"/>
        <v>50.222626757425878</v>
      </c>
      <c r="BV19" s="175">
        <f t="shared" ca="1" si="22"/>
        <v>51.068201605712218</v>
      </c>
      <c r="BW19" s="175">
        <f t="shared" ca="1" si="22"/>
        <v>51.920675505693509</v>
      </c>
    </row>
    <row r="20" spans="1:75" x14ac:dyDescent="0.25">
      <c r="A20" s="13"/>
      <c r="B20" s="40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Q20" s="16"/>
      <c r="Y20" s="199"/>
      <c r="Z20" s="199"/>
      <c r="AC20" s="16"/>
      <c r="AD20" s="199"/>
      <c r="AK20" s="199"/>
      <c r="AL20" s="199"/>
      <c r="AO20" s="16"/>
      <c r="AP20" s="199"/>
      <c r="AW20" s="199"/>
      <c r="AX20" s="199"/>
      <c r="BA20" s="16"/>
      <c r="BB20" s="199"/>
      <c r="BI20" s="199"/>
      <c r="BJ20" s="199"/>
      <c r="BK20" s="16"/>
      <c r="BL20" s="16"/>
      <c r="BM20" s="16"/>
      <c r="BN20" s="199"/>
      <c r="BO20" s="16"/>
    </row>
    <row r="21" spans="1:75" s="13" customFormat="1" ht="14.4" x14ac:dyDescent="0.2">
      <c r="A21" s="5"/>
      <c r="B21" s="40"/>
      <c r="D21" s="37"/>
      <c r="E21" s="200" t="s">
        <v>165</v>
      </c>
      <c r="F21" s="200"/>
      <c r="G21" s="200"/>
      <c r="H21" s="200"/>
      <c r="I21" s="200"/>
      <c r="J21" s="37"/>
      <c r="K21" s="200" t="s">
        <v>166</v>
      </c>
      <c r="L21" s="200"/>
      <c r="M21" s="200"/>
      <c r="N21" s="200"/>
      <c r="O21" s="200"/>
      <c r="P21" s="37"/>
      <c r="R21" s="5"/>
      <c r="T21" s="37"/>
      <c r="U21" s="37"/>
      <c r="V21" s="37"/>
      <c r="W21" s="37"/>
      <c r="X21" s="37"/>
      <c r="Y21" s="37"/>
      <c r="Z21" s="37"/>
      <c r="AA21" s="37"/>
      <c r="AB21" s="37"/>
      <c r="AC21" s="5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5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5"/>
      <c r="BB21" s="37"/>
      <c r="BC21" s="37"/>
      <c r="BD21" s="37"/>
      <c r="BE21" s="37"/>
      <c r="BF21" s="37"/>
      <c r="BG21" s="37"/>
      <c r="BH21" s="37"/>
    </row>
    <row r="22" spans="1:75" s="13" customFormat="1" ht="3.6" customHeight="1" x14ac:dyDescent="0.2">
      <c r="B22" s="40"/>
      <c r="C22" s="201"/>
      <c r="D22" s="37"/>
      <c r="E22" s="200"/>
      <c r="F22" s="200"/>
      <c r="G22" s="200"/>
      <c r="H22" s="200"/>
      <c r="I22" s="200"/>
      <c r="K22" s="200"/>
      <c r="L22" s="200"/>
      <c r="M22" s="200"/>
      <c r="N22" s="200"/>
      <c r="O22" s="200"/>
      <c r="P22" s="37"/>
      <c r="R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</row>
    <row r="23" spans="1:75" x14ac:dyDescent="0.25">
      <c r="A23" s="40"/>
      <c r="B23" s="40"/>
      <c r="E23" s="185" t="s">
        <v>167</v>
      </c>
      <c r="F23" s="185"/>
      <c r="G23" s="202"/>
      <c r="H23" s="591" cm="1">
        <f t="array" aca="1" ref="H23" ca="1">SUMPRODUCT(P19:BW19/(1+ValWACC)^(P4:BW4/12))</f>
        <v>1225.0546047391449</v>
      </c>
      <c r="I23" s="591"/>
      <c r="K23" s="185" t="s">
        <v>81</v>
      </c>
      <c r="L23" s="202"/>
      <c r="M23" s="203"/>
      <c r="N23" s="592">
        <f>ValEvEbitda</f>
        <v>5</v>
      </c>
      <c r="O23" s="592"/>
      <c r="AC23" s="16"/>
      <c r="AO23" s="16"/>
      <c r="BA23" s="16"/>
    </row>
    <row r="24" spans="1:75" x14ac:dyDescent="0.25">
      <c r="A24" s="128"/>
      <c r="B24" s="40"/>
      <c r="E24" s="204" t="s">
        <v>168</v>
      </c>
      <c r="F24" s="204"/>
      <c r="G24" s="205"/>
      <c r="H24" s="589">
        <f ca="1" xml:space="preserve">  (SUM(BL19:BW19)*(1+ValTerminal) / (ValWACC-ValTerminal)) / (1+ValWACC)^(BW4/12)</f>
        <v>5957.4378520863629</v>
      </c>
      <c r="I24" s="589"/>
      <c r="K24" s="206" t="s">
        <v>169</v>
      </c>
      <c r="L24" s="205"/>
      <c r="M24" s="205"/>
      <c r="N24" s="586">
        <f ca="1">Income!F15</f>
        <v>529.3765374135578</v>
      </c>
      <c r="O24" s="586"/>
      <c r="AC24" s="16"/>
      <c r="AO24" s="16"/>
      <c r="BA24" s="16"/>
    </row>
    <row r="25" spans="1:75" x14ac:dyDescent="0.25">
      <c r="A25" s="135"/>
      <c r="B25" s="40"/>
      <c r="E25" s="175" t="s">
        <v>170</v>
      </c>
      <c r="H25" s="587">
        <f ca="1">SUM(H23:H24)</f>
        <v>7182.4924568255083</v>
      </c>
      <c r="I25" s="587"/>
      <c r="K25" s="175" t="s">
        <v>170</v>
      </c>
      <c r="M25" s="14"/>
      <c r="N25" s="590">
        <f ca="1">N23*N24</f>
        <v>2646.882687067789</v>
      </c>
      <c r="O25" s="590"/>
      <c r="Q25" s="16"/>
      <c r="AC25" s="16"/>
      <c r="AO25" s="16"/>
      <c r="BA25" s="16"/>
    </row>
    <row r="26" spans="1:75" x14ac:dyDescent="0.25">
      <c r="B26" s="40"/>
      <c r="E26" s="185" t="s">
        <v>171</v>
      </c>
      <c r="F26" s="207"/>
      <c r="G26" s="202"/>
      <c r="H26" s="591">
        <f ca="1">-(Balance!F22+Balance!F23+Balance!F25)</f>
        <v>-190</v>
      </c>
      <c r="I26" s="591"/>
      <c r="K26" s="185" t="s">
        <v>172</v>
      </c>
      <c r="L26" s="202"/>
      <c r="M26" s="202"/>
      <c r="N26" s="592">
        <f>ValPE</f>
        <v>8</v>
      </c>
      <c r="O26" s="592"/>
      <c r="Q26" s="16"/>
      <c r="AC26" s="16"/>
      <c r="AO26" s="16"/>
      <c r="BA26" s="16"/>
    </row>
    <row r="27" spans="1:75" x14ac:dyDescent="0.25">
      <c r="A27" s="13"/>
      <c r="B27" s="40"/>
      <c r="E27" s="204" t="s">
        <v>173</v>
      </c>
      <c r="F27" s="208"/>
      <c r="G27" s="205"/>
      <c r="H27" s="585">
        <f ca="1">Balance!F6</f>
        <v>529.47427960724121</v>
      </c>
      <c r="I27" s="585"/>
      <c r="K27" s="206" t="s">
        <v>174</v>
      </c>
      <c r="L27" s="205"/>
      <c r="M27" s="209"/>
      <c r="N27" s="586">
        <f ca="1">Income!F26</f>
        <v>308.05870817548504</v>
      </c>
      <c r="O27" s="586"/>
      <c r="Q27" s="16"/>
      <c r="AC27" s="16"/>
      <c r="AO27" s="16"/>
      <c r="BA27" s="16"/>
    </row>
    <row r="28" spans="1:75" x14ac:dyDescent="0.25">
      <c r="B28" s="40"/>
      <c r="E28" s="175" t="s">
        <v>175</v>
      </c>
      <c r="F28" s="14"/>
      <c r="H28" s="587">
        <f ca="1">SUM(H25,H26:I27)</f>
        <v>7521.9667364327497</v>
      </c>
      <c r="I28" s="587"/>
      <c r="J28" s="14"/>
      <c r="K28" s="175" t="s">
        <v>175</v>
      </c>
      <c r="M28" s="14"/>
      <c r="N28" s="588">
        <f ca="1">N26*N27</f>
        <v>2464.4696654038803</v>
      </c>
      <c r="O28" s="588"/>
    </row>
    <row r="29" spans="1:75" x14ac:dyDescent="0.25">
      <c r="B29" s="40"/>
    </row>
    <row r="30" spans="1:75" x14ac:dyDescent="0.25">
      <c r="B30" s="40"/>
    </row>
    <row r="31" spans="1:75" x14ac:dyDescent="0.25">
      <c r="B31" s="40"/>
    </row>
    <row r="32" spans="1:75" x14ac:dyDescent="0.25">
      <c r="B32" s="40"/>
    </row>
    <row r="33" spans="2:2" x14ac:dyDescent="0.25">
      <c r="B33" s="40"/>
    </row>
  </sheetData>
  <sheetProtection algorithmName="SHA-512" hashValue="3ZiTzoO3xp9TtQ3bzwtY8l+7/Zx75TNswN+DyaQhJXHDPNisXHXe50DXUm7CRNo7uHsIVppjFPqYYpRW98fCUg==" saltValue="s3H6pYT1+Ciu24FjmgUeWQ==" spinCount="100000" sheet="1" objects="1" scenarios="1" selectLockedCells="1" selectUnlockedCells="1"/>
  <mergeCells count="88">
    <mergeCell ref="E4:F4"/>
    <mergeCell ref="G4:H4"/>
    <mergeCell ref="I4:J4"/>
    <mergeCell ref="K4:L4"/>
    <mergeCell ref="M4:N4"/>
    <mergeCell ref="E6:F6"/>
    <mergeCell ref="G6:H6"/>
    <mergeCell ref="I6:J6"/>
    <mergeCell ref="K6:L6"/>
    <mergeCell ref="M6:N6"/>
    <mergeCell ref="E8:F8"/>
    <mergeCell ref="G8:H8"/>
    <mergeCell ref="I8:J8"/>
    <mergeCell ref="K8:L8"/>
    <mergeCell ref="M8:N8"/>
    <mergeCell ref="E7:F7"/>
    <mergeCell ref="G7:H7"/>
    <mergeCell ref="I7:J7"/>
    <mergeCell ref="K7:L7"/>
    <mergeCell ref="M7:N7"/>
    <mergeCell ref="E10:F10"/>
    <mergeCell ref="G10:H10"/>
    <mergeCell ref="I10:J10"/>
    <mergeCell ref="K10:L10"/>
    <mergeCell ref="M10:N10"/>
    <mergeCell ref="E9:F9"/>
    <mergeCell ref="G9:H9"/>
    <mergeCell ref="I9:J9"/>
    <mergeCell ref="K9:L9"/>
    <mergeCell ref="M9:N9"/>
    <mergeCell ref="E12:F12"/>
    <mergeCell ref="G12:H12"/>
    <mergeCell ref="I12:J12"/>
    <mergeCell ref="K12:L12"/>
    <mergeCell ref="M12:N12"/>
    <mergeCell ref="E11:F11"/>
    <mergeCell ref="G11:H11"/>
    <mergeCell ref="I11:J11"/>
    <mergeCell ref="K11:L11"/>
    <mergeCell ref="M11:N11"/>
    <mergeCell ref="E14:F14"/>
    <mergeCell ref="G14:H14"/>
    <mergeCell ref="I14:J14"/>
    <mergeCell ref="K14:L14"/>
    <mergeCell ref="M14:N14"/>
    <mergeCell ref="E13:F13"/>
    <mergeCell ref="G13:H13"/>
    <mergeCell ref="I13:J13"/>
    <mergeCell ref="K13:L13"/>
    <mergeCell ref="M13:N13"/>
    <mergeCell ref="M15:N15"/>
    <mergeCell ref="E16:F16"/>
    <mergeCell ref="G16:H16"/>
    <mergeCell ref="I16:J16"/>
    <mergeCell ref="K16:L16"/>
    <mergeCell ref="M16:N16"/>
    <mergeCell ref="E15:F15"/>
    <mergeCell ref="G15:H15"/>
    <mergeCell ref="I15:J15"/>
    <mergeCell ref="K15:L15"/>
    <mergeCell ref="E18:F18"/>
    <mergeCell ref="G18:H18"/>
    <mergeCell ref="I18:J18"/>
    <mergeCell ref="K18:L18"/>
    <mergeCell ref="G17:H17"/>
    <mergeCell ref="I17:J17"/>
    <mergeCell ref="K17:L17"/>
    <mergeCell ref="M17:N17"/>
    <mergeCell ref="E19:F19"/>
    <mergeCell ref="G19:H19"/>
    <mergeCell ref="I19:J19"/>
    <mergeCell ref="K19:L19"/>
    <mergeCell ref="C3:C4"/>
    <mergeCell ref="M19:N19"/>
    <mergeCell ref="H27:I27"/>
    <mergeCell ref="N27:O27"/>
    <mergeCell ref="H28:I28"/>
    <mergeCell ref="N28:O28"/>
    <mergeCell ref="H24:I24"/>
    <mergeCell ref="N24:O24"/>
    <mergeCell ref="H25:I25"/>
    <mergeCell ref="N25:O25"/>
    <mergeCell ref="H26:I26"/>
    <mergeCell ref="N26:O26"/>
    <mergeCell ref="H23:I23"/>
    <mergeCell ref="N23:O23"/>
    <mergeCell ref="M18:N18"/>
    <mergeCell ref="E17:F17"/>
  </mergeCells>
  <pageMargins left="0.7" right="0.7" top="0.75" bottom="0.75" header="0.3" footer="0.3"/>
  <pageSetup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0A87E-FC37-4449-B775-4A06FC47687E}">
  <sheetPr codeName="Sheet9">
    <tabColor theme="4" tint="0.79998168889431442"/>
    <outlinePr showOutlineSymbols="0"/>
  </sheetPr>
  <dimension ref="A1:CA56"/>
  <sheetViews>
    <sheetView showGridLines="0" showRowColHeaders="0" showZeros="0" showOutlineSymbols="0" workbookViewId="0"/>
  </sheetViews>
  <sheetFormatPr defaultColWidth="9.109375" defaultRowHeight="12.6" x14ac:dyDescent="0.25"/>
  <cols>
    <col min="1" max="1" width="3" style="5" customWidth="1"/>
    <col min="2" max="2" width="1.6640625" style="67" customWidth="1"/>
    <col min="3" max="3" width="2.21875" style="5" customWidth="1"/>
    <col min="4" max="4" width="12.33203125" style="19" customWidth="1"/>
    <col min="5" max="5" width="5.21875" style="63" customWidth="1"/>
    <col min="6" max="6" width="5.109375" style="63" customWidth="1"/>
    <col min="7" max="7" width="6.6640625" style="63" customWidth="1"/>
    <col min="8" max="8" width="5.5546875" style="63" customWidth="1"/>
    <col min="9" max="9" width="9.109375" style="63"/>
    <col min="10" max="10" width="6.44140625" style="19" customWidth="1"/>
    <col min="11" max="11" width="5.5546875" style="19" customWidth="1"/>
    <col min="12" max="12" width="2.21875" style="19" customWidth="1"/>
    <col min="13" max="13" width="5.5546875" style="19" customWidth="1"/>
    <col min="14" max="14" width="2.21875" style="63" customWidth="1"/>
    <col min="15" max="22" width="6.5546875" style="63" customWidth="1"/>
    <col min="23" max="23" width="2.21875" style="63" customWidth="1"/>
    <col min="24" max="24" width="5.5546875" style="63" customWidth="1"/>
    <col min="25" max="25" width="2.21875" style="63" customWidth="1"/>
    <col min="26" max="26" width="8.77734375" style="63" customWidth="1"/>
    <col min="27" max="27" width="3.33203125" style="63" customWidth="1"/>
    <col min="28" max="28" width="3" style="63" customWidth="1"/>
    <col min="29" max="29" width="8.88671875" style="64" customWidth="1"/>
    <col min="30" max="30" width="3" style="64" customWidth="1"/>
    <col min="31" max="31" width="5.109375" style="64" customWidth="1"/>
    <col min="32" max="32" width="1.88671875" style="64" customWidth="1"/>
    <col min="33" max="33" width="10" style="63" customWidth="1"/>
    <col min="34" max="34" width="1.88671875" style="63" customWidth="1"/>
    <col min="35" max="35" width="8.88671875" style="63" customWidth="1"/>
    <col min="36" max="36" width="2.21875" style="63" customWidth="1"/>
    <col min="37" max="37" width="9.109375" style="63"/>
    <col min="38" max="40" width="9.109375" style="5"/>
    <col min="41" max="41" width="6.109375" style="5" customWidth="1"/>
    <col min="42" max="42" width="6.109375" style="66" customWidth="1"/>
    <col min="43" max="43" width="6.5546875" style="67" bestFit="1" customWidth="1"/>
    <col min="44" max="44" width="7.44140625" style="39" bestFit="1" customWidth="1"/>
    <col min="45" max="45" width="11.88671875" style="15" bestFit="1" customWidth="1"/>
    <col min="46" max="46" width="11.21875" style="39" bestFit="1" customWidth="1"/>
    <col min="47" max="47" width="11.5546875" style="39" bestFit="1" customWidth="1"/>
    <col min="48" max="48" width="8.6640625" style="39" bestFit="1" customWidth="1"/>
    <col min="49" max="49" width="3.44140625" style="63" bestFit="1" customWidth="1"/>
    <col min="50" max="16384" width="9.109375" style="63"/>
  </cols>
  <sheetData>
    <row r="1" spans="1:79" s="2" customFormat="1" ht="10.199999999999999" x14ac:dyDescent="0.2">
      <c r="A1" s="1" t="s">
        <v>0</v>
      </c>
      <c r="R1" s="3"/>
      <c r="V1" s="4"/>
      <c r="Z1" s="4"/>
    </row>
    <row r="2" spans="1:79" s="38" customFormat="1" ht="10.199999999999999" x14ac:dyDescent="0.2">
      <c r="A2" s="5"/>
      <c r="B2" s="67"/>
      <c r="C2" s="5"/>
      <c r="D2" s="17"/>
      <c r="E2" s="37"/>
      <c r="F2" s="37"/>
      <c r="G2" s="37"/>
      <c r="H2" s="37"/>
      <c r="I2" s="37"/>
      <c r="J2" s="37"/>
      <c r="K2" s="17"/>
      <c r="L2" s="17"/>
      <c r="M2" s="17"/>
      <c r="AN2" s="17"/>
      <c r="AO2" s="17"/>
      <c r="AP2" s="17"/>
      <c r="AQ2" s="17"/>
      <c r="AR2" s="17"/>
      <c r="AS2" s="17"/>
      <c r="AT2" s="39"/>
      <c r="AU2" s="39"/>
      <c r="AV2" s="39"/>
    </row>
    <row r="3" spans="1:79" s="38" customFormat="1" ht="21" customHeight="1" x14ac:dyDescent="0.2">
      <c r="A3" s="5"/>
      <c r="B3" s="67"/>
      <c r="C3" s="579" t="s">
        <v>83</v>
      </c>
      <c r="D3" s="579"/>
      <c r="E3" s="37"/>
      <c r="F3" s="5"/>
      <c r="G3" s="5"/>
      <c r="H3" s="5"/>
      <c r="I3" s="37"/>
      <c r="J3" s="37"/>
      <c r="K3" s="17"/>
      <c r="L3" s="17"/>
      <c r="M3" s="17"/>
      <c r="AN3" s="17"/>
      <c r="AO3" s="17"/>
      <c r="AP3" s="17"/>
      <c r="AQ3" s="17"/>
      <c r="AR3" s="17"/>
      <c r="AS3" s="17"/>
      <c r="AT3" s="39"/>
      <c r="AU3" s="39"/>
      <c r="AV3" s="39"/>
    </row>
    <row r="4" spans="1:79" s="41" customFormat="1" ht="13.8" customHeight="1" x14ac:dyDescent="0.3">
      <c r="A4" s="40"/>
      <c r="B4" s="115"/>
      <c r="C4" s="579"/>
      <c r="D4" s="579"/>
      <c r="E4" s="42"/>
      <c r="F4" s="8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8"/>
      <c r="AO4" s="10"/>
      <c r="AP4" s="10"/>
      <c r="AQ4" s="10"/>
      <c r="AR4" s="10"/>
      <c r="AS4" s="43"/>
      <c r="AT4" s="10"/>
      <c r="AU4" s="10"/>
      <c r="AV4" s="10"/>
      <c r="AW4" s="10"/>
      <c r="AX4" s="10"/>
      <c r="AY4" s="10"/>
      <c r="AZ4" s="8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8"/>
      <c r="BM4" s="44"/>
    </row>
    <row r="5" spans="1:79" s="46" customFormat="1" ht="15.6" x14ac:dyDescent="0.3">
      <c r="A5" s="13"/>
      <c r="B5" s="201"/>
      <c r="C5" s="571" t="s">
        <v>84</v>
      </c>
      <c r="D5" s="571"/>
      <c r="E5" s="571"/>
      <c r="F5" s="571"/>
      <c r="G5" s="571"/>
      <c r="H5" s="571"/>
      <c r="I5" s="571"/>
      <c r="J5" s="571"/>
      <c r="K5" s="571"/>
      <c r="L5" s="571"/>
      <c r="M5" s="45"/>
      <c r="N5" s="571" t="s">
        <v>85</v>
      </c>
      <c r="O5" s="571"/>
      <c r="P5" s="571"/>
      <c r="Q5" s="571"/>
      <c r="R5" s="571"/>
      <c r="S5" s="571"/>
      <c r="T5" s="571"/>
      <c r="U5" s="571"/>
      <c r="V5" s="571"/>
      <c r="W5" s="571"/>
      <c r="Y5" s="571" t="s">
        <v>86</v>
      </c>
      <c r="Z5" s="571"/>
      <c r="AA5" s="571"/>
      <c r="AB5" s="571"/>
      <c r="AC5" s="571"/>
      <c r="AD5" s="571"/>
      <c r="AE5" s="571"/>
      <c r="AF5" s="571"/>
      <c r="AG5" s="571"/>
      <c r="AH5" s="571"/>
      <c r="AI5" s="571"/>
      <c r="AJ5" s="571"/>
      <c r="AL5" s="37"/>
      <c r="AM5" s="37"/>
      <c r="AN5" s="37"/>
      <c r="AO5" s="37"/>
      <c r="AP5" s="47"/>
      <c r="AQ5" s="13"/>
      <c r="AR5" s="39"/>
      <c r="AS5" s="15"/>
      <c r="AT5" s="39"/>
      <c r="AU5" s="39"/>
      <c r="AV5" s="39"/>
    </row>
    <row r="6" spans="1:79" s="14" customFormat="1" ht="10.199999999999999" customHeight="1" x14ac:dyDescent="0.25">
      <c r="A6" s="13"/>
      <c r="B6" s="201"/>
      <c r="C6" s="13"/>
      <c r="D6" s="13"/>
      <c r="F6" s="16"/>
      <c r="G6" s="16"/>
      <c r="H6" s="16"/>
      <c r="I6" s="16"/>
      <c r="J6" s="16"/>
      <c r="K6" s="16"/>
      <c r="L6" s="16"/>
      <c r="M6" s="16"/>
      <c r="N6" s="48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49"/>
      <c r="BX6" s="49"/>
      <c r="BY6" s="49"/>
      <c r="BZ6" s="49"/>
      <c r="CA6" s="49"/>
    </row>
    <row r="7" spans="1:79" s="58" customFormat="1" ht="15.6" x14ac:dyDescent="0.2">
      <c r="A7" s="50"/>
      <c r="B7" s="214"/>
      <c r="C7" s="51"/>
      <c r="D7" s="52" t="s">
        <v>87</v>
      </c>
      <c r="E7" s="53"/>
      <c r="F7" s="53"/>
      <c r="G7" s="54"/>
      <c r="H7" s="54"/>
      <c r="I7" s="54"/>
      <c r="J7" s="54"/>
      <c r="K7" s="54"/>
      <c r="L7" s="54"/>
      <c r="M7" s="54"/>
      <c r="N7" s="55"/>
      <c r="O7" s="641" t="s">
        <v>88</v>
      </c>
      <c r="P7" s="641"/>
      <c r="Q7" s="641"/>
      <c r="R7" s="641"/>
      <c r="S7" s="641"/>
      <c r="T7" s="641"/>
      <c r="U7" s="641"/>
      <c r="V7" s="641"/>
      <c r="W7" s="55"/>
      <c r="X7" s="55"/>
      <c r="Y7" s="55"/>
      <c r="Z7" s="52" t="s">
        <v>89</v>
      </c>
      <c r="AA7" s="53"/>
      <c r="AB7" s="53"/>
      <c r="AC7" s="56"/>
      <c r="AD7" s="56"/>
      <c r="AE7" s="56"/>
      <c r="AF7" s="56"/>
      <c r="AG7" s="57"/>
      <c r="AL7" s="59"/>
      <c r="AM7" s="59"/>
      <c r="AN7" s="59"/>
      <c r="AO7" s="59"/>
      <c r="AP7" s="60"/>
      <c r="AQ7" s="59"/>
      <c r="AR7" s="61" t="s">
        <v>90</v>
      </c>
      <c r="AS7" s="62" t="s">
        <v>91</v>
      </c>
      <c r="AT7" s="61" t="s">
        <v>90</v>
      </c>
      <c r="AU7" s="61" t="s">
        <v>92</v>
      </c>
      <c r="AV7" s="61" t="s">
        <v>93</v>
      </c>
    </row>
    <row r="8" spans="1:79" ht="5.4" customHeight="1" x14ac:dyDescent="0.25">
      <c r="B8" s="201"/>
      <c r="AG8" s="65"/>
      <c r="AH8" s="65"/>
      <c r="AI8" s="65"/>
      <c r="AL8" s="38"/>
      <c r="AM8" s="38"/>
      <c r="AN8" s="38"/>
      <c r="AO8" s="38"/>
    </row>
    <row r="9" spans="1:79" x14ac:dyDescent="0.25">
      <c r="A9" s="68"/>
      <c r="B9" s="201"/>
      <c r="C9" s="69"/>
      <c r="D9" s="70" t="s">
        <v>94</v>
      </c>
      <c r="E9" s="71" t="s">
        <v>95</v>
      </c>
      <c r="F9" s="72"/>
      <c r="G9" s="72"/>
      <c r="H9" s="72" t="s">
        <v>96</v>
      </c>
      <c r="I9" s="72"/>
      <c r="J9" s="70"/>
      <c r="K9" s="73" t="s">
        <v>97</v>
      </c>
      <c r="L9" s="73"/>
      <c r="M9" s="73"/>
      <c r="Z9" s="74" t="s">
        <v>98</v>
      </c>
      <c r="AA9" s="75"/>
      <c r="AB9" s="75"/>
      <c r="AC9" s="75"/>
      <c r="AD9" s="72" t="s">
        <v>96</v>
      </c>
      <c r="AI9" s="75" t="s">
        <v>97</v>
      </c>
      <c r="AL9" s="76"/>
      <c r="AM9" s="38"/>
      <c r="AN9" s="38"/>
      <c r="AO9" s="38"/>
      <c r="AP9" s="63"/>
      <c r="AQ9" s="63"/>
      <c r="AR9" s="63"/>
      <c r="AS9" s="63"/>
      <c r="AT9" s="15"/>
      <c r="AU9" s="15"/>
      <c r="AV9" s="15"/>
    </row>
    <row r="10" spans="1:79" s="84" customFormat="1" ht="6" customHeight="1" x14ac:dyDescent="0.2">
      <c r="A10" s="77"/>
      <c r="B10" s="201"/>
      <c r="C10" s="78"/>
      <c r="D10" s="79"/>
      <c r="E10" s="80"/>
      <c r="F10" s="80"/>
      <c r="G10" s="80"/>
      <c r="H10" s="81"/>
      <c r="I10" s="81"/>
      <c r="J10" s="81"/>
      <c r="K10" s="82"/>
      <c r="L10" s="83"/>
      <c r="M10" s="83"/>
      <c r="U10" s="85"/>
      <c r="Z10" s="86"/>
      <c r="AA10" s="87"/>
      <c r="AB10" s="87"/>
      <c r="AC10" s="87"/>
      <c r="AD10" s="88"/>
      <c r="AE10" s="88"/>
      <c r="AF10" s="88"/>
      <c r="AG10" s="88"/>
      <c r="AH10" s="88"/>
      <c r="AI10" s="89"/>
      <c r="AL10" s="90"/>
      <c r="AM10" s="90"/>
      <c r="AN10" s="90"/>
      <c r="AO10" s="90"/>
    </row>
    <row r="11" spans="1:79" s="84" customFormat="1" ht="6.6" customHeight="1" x14ac:dyDescent="0.2">
      <c r="A11" s="77"/>
      <c r="B11" s="201"/>
      <c r="C11" s="78"/>
      <c r="D11" s="599" t="s">
        <v>99</v>
      </c>
      <c r="E11" s="600" t="s">
        <v>100</v>
      </c>
      <c r="F11" s="600"/>
      <c r="G11" s="600"/>
      <c r="H11" s="600" t="s">
        <v>101</v>
      </c>
      <c r="I11" s="600"/>
      <c r="J11" s="600"/>
      <c r="K11" s="638">
        <f ca="1">Balance!$F$9/Balance!$F$24</f>
        <v>1.7958284483670945</v>
      </c>
      <c r="L11" s="93"/>
      <c r="M11" s="93"/>
      <c r="Z11" s="635" t="s">
        <v>102</v>
      </c>
      <c r="AA11" s="608"/>
      <c r="AB11" s="608"/>
      <c r="AC11" s="608"/>
      <c r="AD11" s="608" t="s">
        <v>103</v>
      </c>
      <c r="AE11" s="608"/>
      <c r="AF11" s="608"/>
      <c r="AG11" s="608"/>
      <c r="AH11" s="608"/>
      <c r="AI11" s="640">
        <f ca="1">Income!$F$22*(1-Taxes)</f>
        <v>317.62592244813465</v>
      </c>
    </row>
    <row r="12" spans="1:79" s="84" customFormat="1" ht="6" customHeight="1" x14ac:dyDescent="0.2">
      <c r="A12" s="77"/>
      <c r="B12" s="201"/>
      <c r="C12" s="78"/>
      <c r="D12" s="599"/>
      <c r="E12" s="600"/>
      <c r="F12" s="600"/>
      <c r="G12" s="600"/>
      <c r="H12" s="600"/>
      <c r="I12" s="600"/>
      <c r="J12" s="600"/>
      <c r="K12" s="638"/>
      <c r="L12" s="93"/>
      <c r="M12" s="93"/>
      <c r="Z12" s="635"/>
      <c r="AA12" s="608"/>
      <c r="AB12" s="608"/>
      <c r="AC12" s="608"/>
      <c r="AD12" s="608"/>
      <c r="AE12" s="608"/>
      <c r="AF12" s="608"/>
      <c r="AG12" s="608"/>
      <c r="AH12" s="608"/>
      <c r="AI12" s="640"/>
      <c r="AL12" s="90"/>
      <c r="AM12" s="90"/>
      <c r="AN12" s="90"/>
      <c r="AO12" s="90"/>
    </row>
    <row r="13" spans="1:79" s="84" customFormat="1" ht="6.6" customHeight="1" x14ac:dyDescent="0.2">
      <c r="A13" s="77"/>
      <c r="B13" s="201"/>
      <c r="C13" s="78"/>
      <c r="D13" s="91"/>
      <c r="E13" s="92"/>
      <c r="F13" s="92"/>
      <c r="G13" s="92"/>
      <c r="H13" s="92"/>
      <c r="I13" s="92"/>
      <c r="J13" s="92"/>
      <c r="K13" s="96"/>
      <c r="L13" s="83"/>
      <c r="M13" s="83"/>
      <c r="Z13" s="94"/>
      <c r="AA13" s="95"/>
      <c r="AB13" s="95"/>
      <c r="AC13" s="95"/>
      <c r="AD13" s="95"/>
      <c r="AE13" s="95"/>
      <c r="AF13" s="95"/>
      <c r="AG13" s="95"/>
      <c r="AH13" s="95"/>
      <c r="AI13" s="97"/>
    </row>
    <row r="14" spans="1:79" s="84" customFormat="1" ht="6" customHeight="1" x14ac:dyDescent="0.25">
      <c r="A14" s="77"/>
      <c r="B14" s="175"/>
      <c r="C14" s="78"/>
      <c r="D14" s="599" t="s">
        <v>99</v>
      </c>
      <c r="E14" s="600" t="s">
        <v>104</v>
      </c>
      <c r="F14" s="600"/>
      <c r="G14" s="600"/>
      <c r="H14" s="600" t="s">
        <v>105</v>
      </c>
      <c r="I14" s="600"/>
      <c r="J14" s="600"/>
      <c r="K14" s="638">
        <f ca="1">Balance!F6/Balance!F24</f>
        <v>0.69297763747505059</v>
      </c>
      <c r="L14" s="93"/>
      <c r="M14" s="93"/>
      <c r="Z14" s="635" t="s">
        <v>106</v>
      </c>
      <c r="AA14" s="608"/>
      <c r="AB14" s="608"/>
      <c r="AC14" s="608"/>
      <c r="AD14" s="608" t="s">
        <v>107</v>
      </c>
      <c r="AE14" s="608"/>
      <c r="AF14" s="608"/>
      <c r="AG14" s="608"/>
      <c r="AH14" s="608"/>
      <c r="AI14" s="640">
        <f ca="1">Balance!$F$20-Balance!$F$24</f>
        <v>658.05814156634551</v>
      </c>
      <c r="AS14" s="98"/>
    </row>
    <row r="15" spans="1:79" s="84" customFormat="1" ht="6.6" customHeight="1" x14ac:dyDescent="0.3">
      <c r="A15" s="77"/>
      <c r="B15" s="201"/>
      <c r="C15" s="78"/>
      <c r="D15" s="599"/>
      <c r="E15" s="600"/>
      <c r="F15" s="600"/>
      <c r="G15" s="600"/>
      <c r="H15" s="600"/>
      <c r="I15" s="600"/>
      <c r="J15" s="600"/>
      <c r="K15" s="638"/>
      <c r="L15" s="93"/>
      <c r="M15" s="93"/>
      <c r="Z15" s="635"/>
      <c r="AA15" s="608"/>
      <c r="AB15" s="608"/>
      <c r="AC15" s="608"/>
      <c r="AD15" s="608"/>
      <c r="AE15" s="608"/>
      <c r="AF15" s="608"/>
      <c r="AG15" s="608"/>
      <c r="AH15" s="608"/>
      <c r="AI15" s="640"/>
      <c r="AK15" s="99"/>
      <c r="AL15" s="100"/>
      <c r="AM15" s="100"/>
      <c r="AN15" s="100"/>
      <c r="AO15" s="100"/>
      <c r="AP15" s="100"/>
      <c r="AQ15" s="100"/>
      <c r="AR15" s="100"/>
      <c r="AS15" s="101"/>
      <c r="AT15" s="100"/>
      <c r="AU15" s="100"/>
      <c r="AV15" s="100"/>
    </row>
    <row r="16" spans="1:79" s="84" customFormat="1" ht="6" customHeight="1" x14ac:dyDescent="0.3">
      <c r="A16" s="77"/>
      <c r="B16" s="201"/>
      <c r="C16" s="78"/>
      <c r="D16" s="91"/>
      <c r="E16" s="92"/>
      <c r="F16" s="92"/>
      <c r="G16" s="92"/>
      <c r="H16" s="92"/>
      <c r="I16" s="92"/>
      <c r="J16" s="92"/>
      <c r="K16" s="96"/>
      <c r="L16" s="83"/>
      <c r="M16" s="83"/>
      <c r="Z16" s="94"/>
      <c r="AA16" s="95"/>
      <c r="AB16" s="95"/>
      <c r="AC16" s="95"/>
      <c r="AD16" s="95"/>
      <c r="AE16" s="95"/>
      <c r="AF16" s="95"/>
      <c r="AG16" s="95"/>
      <c r="AH16" s="95"/>
      <c r="AI16" s="97"/>
      <c r="AK16" s="99"/>
      <c r="AL16" s="100"/>
      <c r="AM16" s="100"/>
      <c r="AN16" s="100"/>
      <c r="AO16" s="100"/>
      <c r="AP16" s="100"/>
      <c r="AQ16" s="100"/>
      <c r="AR16" s="100"/>
      <c r="AS16" s="101"/>
      <c r="AT16" s="100"/>
      <c r="AU16" s="100"/>
      <c r="AV16" s="100"/>
    </row>
    <row r="17" spans="1:61" s="84" customFormat="1" ht="6.6" customHeight="1" x14ac:dyDescent="0.3">
      <c r="A17" s="77"/>
      <c r="B17" s="201"/>
      <c r="C17" s="78"/>
      <c r="D17" s="599" t="s">
        <v>108</v>
      </c>
      <c r="E17" s="600" t="s">
        <v>109</v>
      </c>
      <c r="F17" s="600"/>
      <c r="G17" s="600"/>
      <c r="H17" s="600" t="s">
        <v>110</v>
      </c>
      <c r="I17" s="600"/>
      <c r="J17" s="600"/>
      <c r="K17" s="638">
        <f ca="1">Income!$F$7/((Balance!$K$20+Balance!$W$20)/2)</f>
        <v>6.2518639193982635</v>
      </c>
      <c r="L17" s="93"/>
      <c r="M17" s="93"/>
      <c r="Z17" s="635" t="s">
        <v>111</v>
      </c>
      <c r="AA17" s="608"/>
      <c r="AB17" s="608"/>
      <c r="AC17" s="608"/>
      <c r="AD17" s="608" t="s">
        <v>112</v>
      </c>
      <c r="AE17" s="608"/>
      <c r="AF17" s="608"/>
      <c r="AG17" s="608"/>
      <c r="AH17" s="608"/>
      <c r="AI17" s="637">
        <f ca="1">AI11/AI14</f>
        <v>0.48267151849546952</v>
      </c>
      <c r="AK17" s="99"/>
      <c r="AL17" s="100"/>
      <c r="AM17" s="100"/>
      <c r="AN17" s="100"/>
      <c r="AO17" s="100"/>
      <c r="AP17" s="100"/>
      <c r="AQ17" s="100"/>
      <c r="AR17" s="100"/>
      <c r="AS17" s="101"/>
      <c r="AT17" s="100"/>
      <c r="AU17" s="100"/>
      <c r="AV17" s="100"/>
    </row>
    <row r="18" spans="1:61" s="84" customFormat="1" ht="6" customHeight="1" x14ac:dyDescent="0.3">
      <c r="A18" s="77"/>
      <c r="B18" s="201"/>
      <c r="C18" s="78"/>
      <c r="D18" s="599"/>
      <c r="E18" s="600"/>
      <c r="F18" s="600"/>
      <c r="G18" s="600"/>
      <c r="H18" s="600"/>
      <c r="I18" s="600"/>
      <c r="J18" s="600"/>
      <c r="K18" s="638"/>
      <c r="L18" s="93"/>
      <c r="M18" s="93"/>
      <c r="Z18" s="635"/>
      <c r="AA18" s="608"/>
      <c r="AB18" s="608"/>
      <c r="AC18" s="608"/>
      <c r="AD18" s="608"/>
      <c r="AE18" s="608"/>
      <c r="AF18" s="608"/>
      <c r="AG18" s="608"/>
      <c r="AH18" s="608"/>
      <c r="AI18" s="637"/>
      <c r="AK18" s="99"/>
      <c r="AL18" s="100"/>
      <c r="AM18" s="100"/>
      <c r="AN18" s="100"/>
      <c r="AO18" s="100"/>
      <c r="AP18" s="100"/>
      <c r="AQ18" s="100"/>
      <c r="AR18" s="100"/>
      <c r="AS18" s="101"/>
      <c r="AT18" s="100"/>
      <c r="AU18" s="100"/>
      <c r="AV18" s="100"/>
    </row>
    <row r="19" spans="1:61" s="84" customFormat="1" ht="6.6" customHeight="1" x14ac:dyDescent="0.3">
      <c r="A19" s="77"/>
      <c r="B19" s="201"/>
      <c r="C19" s="78"/>
      <c r="D19" s="91"/>
      <c r="E19" s="92"/>
      <c r="F19" s="92"/>
      <c r="G19" s="92"/>
      <c r="H19" s="92"/>
      <c r="I19" s="92"/>
      <c r="J19" s="92"/>
      <c r="K19" s="96"/>
      <c r="L19" s="83"/>
      <c r="M19" s="83"/>
      <c r="Z19" s="94"/>
      <c r="AA19" s="95"/>
      <c r="AB19" s="95"/>
      <c r="AC19" s="95"/>
      <c r="AD19" s="95"/>
      <c r="AE19" s="95"/>
      <c r="AF19" s="95"/>
      <c r="AG19" s="95"/>
      <c r="AH19" s="95"/>
      <c r="AI19" s="102"/>
      <c r="AK19" s="99"/>
      <c r="AL19" s="100"/>
      <c r="AM19" s="100"/>
      <c r="AN19" s="100"/>
      <c r="AO19" s="100"/>
      <c r="AP19" s="100"/>
      <c r="AQ19" s="100"/>
      <c r="AR19" s="100"/>
      <c r="AS19" s="101"/>
      <c r="AT19" s="100"/>
      <c r="AU19" s="100"/>
      <c r="AV19" s="100"/>
    </row>
    <row r="20" spans="1:61" s="84" customFormat="1" ht="6" customHeight="1" x14ac:dyDescent="0.3">
      <c r="A20" s="77"/>
      <c r="B20" s="201"/>
      <c r="C20" s="78"/>
      <c r="D20" s="599" t="s">
        <v>113</v>
      </c>
      <c r="E20" s="600" t="s">
        <v>114</v>
      </c>
      <c r="F20" s="600"/>
      <c r="G20" s="600"/>
      <c r="H20" s="600" t="s">
        <v>115</v>
      </c>
      <c r="I20" s="600"/>
      <c r="J20" s="600"/>
      <c r="K20" s="638">
        <f ca="1">Balance!$F$26/Balance!$F$30</f>
        <v>1.4183237098832979</v>
      </c>
      <c r="L20" s="93"/>
      <c r="M20" s="93"/>
      <c r="Z20" s="635" t="s">
        <v>116</v>
      </c>
      <c r="AA20" s="608"/>
      <c r="AB20" s="608"/>
      <c r="AC20" s="608"/>
      <c r="AD20" s="608" t="s">
        <v>12</v>
      </c>
      <c r="AE20" s="608"/>
      <c r="AF20" s="608"/>
      <c r="AG20" s="608"/>
      <c r="AH20" s="608"/>
      <c r="AI20" s="639">
        <f ca="1">ValWACC</f>
        <v>8.8875302804408682E-2</v>
      </c>
      <c r="AK20" s="99"/>
      <c r="AL20" s="100"/>
      <c r="AM20" s="100"/>
      <c r="AN20" s="100"/>
      <c r="AO20" s="100"/>
      <c r="AP20" s="100"/>
      <c r="AQ20" s="100"/>
      <c r="AR20" s="100"/>
      <c r="AS20" s="101"/>
      <c r="AT20" s="100"/>
      <c r="AU20" s="100"/>
      <c r="AV20" s="100"/>
    </row>
    <row r="21" spans="1:61" s="84" customFormat="1" ht="6.6" customHeight="1" x14ac:dyDescent="0.3">
      <c r="A21" s="77"/>
      <c r="B21" s="201"/>
      <c r="C21" s="78"/>
      <c r="D21" s="599"/>
      <c r="E21" s="600"/>
      <c r="F21" s="600"/>
      <c r="G21" s="600"/>
      <c r="H21" s="600"/>
      <c r="I21" s="600"/>
      <c r="J21" s="600"/>
      <c r="K21" s="638"/>
      <c r="L21" s="93"/>
      <c r="M21" s="93"/>
      <c r="Z21" s="635"/>
      <c r="AA21" s="608"/>
      <c r="AB21" s="608"/>
      <c r="AC21" s="608"/>
      <c r="AD21" s="608"/>
      <c r="AE21" s="608"/>
      <c r="AF21" s="608"/>
      <c r="AG21" s="608"/>
      <c r="AH21" s="608"/>
      <c r="AI21" s="639"/>
      <c r="AK21" s="99"/>
      <c r="AL21" s="100"/>
      <c r="AM21" s="100"/>
      <c r="AN21" s="100"/>
      <c r="AO21" s="100"/>
      <c r="AP21" s="100"/>
      <c r="AQ21" s="100"/>
      <c r="AR21" s="100"/>
      <c r="AS21" s="101"/>
      <c r="AT21" s="100"/>
      <c r="AU21" s="100"/>
      <c r="AV21" s="100"/>
    </row>
    <row r="22" spans="1:61" s="84" customFormat="1" ht="6" customHeight="1" x14ac:dyDescent="0.3">
      <c r="A22" s="77"/>
      <c r="B22" s="201"/>
      <c r="C22" s="78"/>
      <c r="D22" s="91"/>
      <c r="E22" s="92"/>
      <c r="F22" s="92"/>
      <c r="G22" s="92"/>
      <c r="H22" s="92"/>
      <c r="I22" s="92"/>
      <c r="J22" s="92"/>
      <c r="K22" s="96"/>
      <c r="L22" s="83"/>
      <c r="M22" s="83"/>
      <c r="Z22" s="94"/>
      <c r="AA22" s="95"/>
      <c r="AB22" s="95"/>
      <c r="AC22" s="95"/>
      <c r="AD22" s="95"/>
      <c r="AE22" s="95"/>
      <c r="AF22" s="95"/>
      <c r="AG22" s="95"/>
      <c r="AH22" s="95"/>
      <c r="AI22" s="102"/>
      <c r="AK22" s="99"/>
      <c r="AL22" s="100"/>
      <c r="AM22" s="100"/>
      <c r="AN22" s="100"/>
      <c r="AO22" s="100"/>
      <c r="AP22" s="100"/>
      <c r="AQ22" s="100"/>
      <c r="AR22" s="100"/>
      <c r="AS22" s="101"/>
      <c r="AT22" s="100"/>
      <c r="AU22" s="100"/>
      <c r="AV22" s="100"/>
    </row>
    <row r="23" spans="1:61" s="84" customFormat="1" ht="6.6" customHeight="1" x14ac:dyDescent="0.3">
      <c r="A23" s="77"/>
      <c r="B23" s="175"/>
      <c r="C23" s="78"/>
      <c r="D23" s="599" t="s">
        <v>86</v>
      </c>
      <c r="E23" s="600" t="s">
        <v>117</v>
      </c>
      <c r="F23" s="600"/>
      <c r="G23" s="600"/>
      <c r="H23" s="600" t="s">
        <v>118</v>
      </c>
      <c r="I23" s="600"/>
      <c r="J23" s="600"/>
      <c r="K23" s="634">
        <f ca="1">Income!F22/Income!F7</f>
        <v>8.737433812893787E-2</v>
      </c>
      <c r="L23" s="104"/>
      <c r="M23" s="104"/>
      <c r="Z23" s="635" t="s">
        <v>119</v>
      </c>
      <c r="AA23" s="608"/>
      <c r="AB23" s="608"/>
      <c r="AC23" s="608"/>
      <c r="AD23" s="608" t="s">
        <v>120</v>
      </c>
      <c r="AE23" s="608"/>
      <c r="AF23" s="608"/>
      <c r="AG23" s="608"/>
      <c r="AH23" s="608"/>
      <c r="AI23" s="633">
        <f ca="1">AI17-AI20</f>
        <v>0.39379621569106082</v>
      </c>
      <c r="AK23" s="99"/>
      <c r="AL23" s="100"/>
      <c r="AM23" s="100"/>
      <c r="AN23" s="100"/>
      <c r="AO23" s="100"/>
      <c r="AP23" s="100"/>
      <c r="AQ23" s="100"/>
      <c r="AR23" s="100"/>
      <c r="AS23" s="101"/>
      <c r="AT23" s="100"/>
      <c r="AU23" s="100"/>
      <c r="AV23" s="100"/>
    </row>
    <row r="24" spans="1:61" s="84" customFormat="1" ht="6" customHeight="1" x14ac:dyDescent="0.3">
      <c r="A24" s="77"/>
      <c r="B24" s="201"/>
      <c r="C24" s="78"/>
      <c r="D24" s="599"/>
      <c r="E24" s="600"/>
      <c r="F24" s="600"/>
      <c r="G24" s="600"/>
      <c r="H24" s="600"/>
      <c r="I24" s="600"/>
      <c r="J24" s="600"/>
      <c r="K24" s="634"/>
      <c r="L24" s="104"/>
      <c r="M24" s="104"/>
      <c r="Z24" s="635"/>
      <c r="AA24" s="608"/>
      <c r="AB24" s="608"/>
      <c r="AC24" s="608"/>
      <c r="AD24" s="608"/>
      <c r="AE24" s="608"/>
      <c r="AF24" s="608"/>
      <c r="AG24" s="608"/>
      <c r="AH24" s="608"/>
      <c r="AI24" s="633"/>
      <c r="AK24" s="99"/>
      <c r="AL24" s="100"/>
      <c r="AM24" s="100"/>
      <c r="AN24" s="100"/>
      <c r="AO24" s="100"/>
      <c r="AP24" s="100"/>
      <c r="AQ24" s="100"/>
      <c r="AR24" s="100"/>
      <c r="AS24" s="101"/>
      <c r="AT24" s="100"/>
      <c r="AU24" s="100"/>
      <c r="AV24" s="100"/>
    </row>
    <row r="25" spans="1:61" s="84" customFormat="1" ht="6.6" customHeight="1" x14ac:dyDescent="0.3">
      <c r="A25" s="77"/>
      <c r="B25" s="201"/>
      <c r="C25" s="78"/>
      <c r="D25" s="91"/>
      <c r="E25" s="92"/>
      <c r="F25" s="92"/>
      <c r="G25" s="92"/>
      <c r="H25" s="92"/>
      <c r="I25" s="92"/>
      <c r="J25" s="92"/>
      <c r="K25" s="103"/>
      <c r="L25" s="104"/>
      <c r="M25" s="104"/>
      <c r="Z25" s="94"/>
      <c r="AA25" s="95"/>
      <c r="AB25" s="95"/>
      <c r="AC25" s="95"/>
      <c r="AD25" s="95"/>
      <c r="AE25" s="95"/>
      <c r="AF25" s="95"/>
      <c r="AG25" s="95"/>
      <c r="AH25" s="95"/>
      <c r="AI25" s="105"/>
      <c r="AK25" s="99"/>
      <c r="AL25" s="100"/>
      <c r="AM25" s="100"/>
      <c r="AN25" s="100"/>
      <c r="AO25" s="100"/>
      <c r="AP25" s="100"/>
      <c r="AQ25" s="100"/>
      <c r="AR25" s="100"/>
      <c r="AS25" s="101"/>
      <c r="AT25" s="100"/>
      <c r="AU25" s="100"/>
      <c r="AV25" s="100"/>
    </row>
    <row r="26" spans="1:61" s="84" customFormat="1" ht="6" customHeight="1" x14ac:dyDescent="0.3">
      <c r="A26" s="77"/>
      <c r="B26" s="201"/>
      <c r="C26" s="78"/>
      <c r="D26" s="599" t="s">
        <v>86</v>
      </c>
      <c r="E26" s="600" t="s">
        <v>121</v>
      </c>
      <c r="F26" s="600"/>
      <c r="G26" s="600"/>
      <c r="H26" s="600" t="s">
        <v>122</v>
      </c>
      <c r="I26" s="600"/>
      <c r="J26" s="600"/>
      <c r="K26" s="634">
        <f ca="1">Income!F26/Income!F7</f>
        <v>5.0845520776567898E-2</v>
      </c>
      <c r="L26" s="104"/>
      <c r="M26" s="104"/>
      <c r="Z26" s="635" t="s">
        <v>123</v>
      </c>
      <c r="AA26" s="608"/>
      <c r="AB26" s="608"/>
      <c r="AC26" s="608"/>
      <c r="AD26" s="608" t="s">
        <v>124</v>
      </c>
      <c r="AE26" s="608"/>
      <c r="AF26" s="608"/>
      <c r="AG26" s="608"/>
      <c r="AH26" s="608"/>
      <c r="AI26" s="636">
        <f ca="1">AI23*AI14</f>
        <v>259.14080585351923</v>
      </c>
      <c r="AK26" s="99"/>
      <c r="AL26" s="100"/>
      <c r="AM26" s="100"/>
      <c r="AN26" s="100"/>
      <c r="AO26" s="100"/>
      <c r="AP26" s="100"/>
      <c r="AQ26" s="100"/>
      <c r="AR26" s="100"/>
      <c r="AS26" s="101"/>
      <c r="AT26" s="100"/>
      <c r="AU26" s="100"/>
      <c r="AV26" s="100"/>
    </row>
    <row r="27" spans="1:61" s="84" customFormat="1" ht="6.6" customHeight="1" x14ac:dyDescent="0.3">
      <c r="A27" s="77"/>
      <c r="B27" s="227"/>
      <c r="C27" s="78"/>
      <c r="D27" s="599"/>
      <c r="E27" s="600"/>
      <c r="F27" s="600"/>
      <c r="G27" s="600"/>
      <c r="H27" s="600"/>
      <c r="I27" s="600"/>
      <c r="J27" s="600"/>
      <c r="K27" s="634"/>
      <c r="L27" s="104"/>
      <c r="M27" s="104"/>
      <c r="Z27" s="635"/>
      <c r="AA27" s="608"/>
      <c r="AB27" s="608"/>
      <c r="AC27" s="608"/>
      <c r="AD27" s="608"/>
      <c r="AE27" s="608"/>
      <c r="AF27" s="608"/>
      <c r="AG27" s="608"/>
      <c r="AH27" s="608"/>
      <c r="AI27" s="636"/>
      <c r="AK27" s="99"/>
      <c r="AL27" s="100"/>
      <c r="AM27" s="100"/>
      <c r="AN27" s="100"/>
      <c r="AO27" s="100"/>
      <c r="AP27" s="100"/>
      <c r="AQ27" s="100"/>
      <c r="AR27" s="100"/>
      <c r="AS27" s="101"/>
      <c r="AT27" s="100"/>
      <c r="AU27" s="100"/>
      <c r="AV27" s="100"/>
    </row>
    <row r="28" spans="1:61" s="84" customFormat="1" ht="6" customHeight="1" x14ac:dyDescent="0.3">
      <c r="A28" s="77"/>
      <c r="B28" s="201"/>
      <c r="C28" s="78"/>
      <c r="D28" s="106"/>
      <c r="E28" s="107"/>
      <c r="F28" s="107"/>
      <c r="G28" s="107"/>
      <c r="H28" s="107"/>
      <c r="I28" s="107"/>
      <c r="J28" s="107"/>
      <c r="K28" s="108"/>
      <c r="L28" s="83"/>
      <c r="M28" s="83"/>
      <c r="Z28" s="109"/>
      <c r="AA28" s="110"/>
      <c r="AB28" s="110"/>
      <c r="AC28" s="110"/>
      <c r="AD28" s="110"/>
      <c r="AE28" s="110"/>
      <c r="AF28" s="110"/>
      <c r="AG28" s="110"/>
      <c r="AH28" s="110"/>
      <c r="AI28" s="111"/>
      <c r="AK28" s="99"/>
      <c r="AL28" s="100"/>
      <c r="AM28" s="100"/>
      <c r="AN28" s="100"/>
      <c r="AO28" s="100"/>
      <c r="AP28" s="100"/>
      <c r="AQ28" s="100"/>
      <c r="AR28" s="100"/>
      <c r="AS28" s="101"/>
      <c r="AT28" s="100"/>
      <c r="AU28" s="100"/>
      <c r="AV28" s="100"/>
    </row>
    <row r="29" spans="1:61" s="84" customFormat="1" ht="18" customHeight="1" x14ac:dyDescent="0.3">
      <c r="A29" s="77"/>
      <c r="B29" s="67"/>
      <c r="C29" s="78"/>
      <c r="AK29" s="99"/>
      <c r="AL29" s="100"/>
      <c r="AM29" s="100"/>
      <c r="AN29" s="100"/>
      <c r="AO29" s="100"/>
      <c r="AP29" s="100"/>
      <c r="AQ29" s="100"/>
      <c r="AR29" s="100"/>
      <c r="AS29" s="101"/>
      <c r="AT29" s="100"/>
      <c r="AU29" s="100"/>
      <c r="AV29" s="100"/>
    </row>
    <row r="30" spans="1:61" ht="14.4" x14ac:dyDescent="0.25">
      <c r="A30" s="38"/>
      <c r="C30" s="63"/>
      <c r="D30" s="52" t="s">
        <v>125</v>
      </c>
      <c r="J30" s="63"/>
      <c r="K30" s="63"/>
      <c r="L30" s="63"/>
      <c r="M30" s="63"/>
      <c r="O30" s="621" t="s">
        <v>126</v>
      </c>
      <c r="P30" s="621"/>
      <c r="Q30" s="621"/>
      <c r="R30" s="621"/>
      <c r="S30" s="621"/>
      <c r="T30" s="621"/>
      <c r="U30" s="621"/>
      <c r="V30" s="621"/>
      <c r="Z30" s="112" t="s">
        <v>127</v>
      </c>
      <c r="AS30" s="113"/>
      <c r="AT30" s="114"/>
      <c r="AU30" s="114"/>
      <c r="AV30" s="114"/>
      <c r="AW30" s="114"/>
      <c r="AX30" s="114"/>
      <c r="AY30" s="114"/>
      <c r="BC30" s="114"/>
      <c r="BD30" s="114"/>
      <c r="BE30" s="19"/>
      <c r="BF30" s="15"/>
      <c r="BG30" s="15"/>
      <c r="BH30" s="114"/>
      <c r="BI30" s="114"/>
    </row>
    <row r="31" spans="1:61" ht="6" customHeight="1" x14ac:dyDescent="0.25">
      <c r="B31" s="201"/>
      <c r="AG31" s="65"/>
      <c r="AS31" s="113"/>
      <c r="AT31" s="63"/>
      <c r="AU31" s="63"/>
      <c r="AV31" s="63"/>
      <c r="BE31" s="19"/>
      <c r="BF31" s="15"/>
      <c r="BG31" s="15"/>
    </row>
    <row r="32" spans="1:61" s="118" customFormat="1" ht="12.6" customHeight="1" x14ac:dyDescent="0.3">
      <c r="A32" s="13"/>
      <c r="B32" s="175"/>
      <c r="C32" s="115"/>
      <c r="D32" s="74" t="s">
        <v>96</v>
      </c>
      <c r="E32" s="72"/>
      <c r="F32" s="116" t="s">
        <v>128</v>
      </c>
      <c r="G32" s="116" t="s">
        <v>129</v>
      </c>
      <c r="H32" s="116" t="s">
        <v>97</v>
      </c>
      <c r="I32" s="622" t="s">
        <v>130</v>
      </c>
      <c r="J32" s="622"/>
      <c r="K32" s="622"/>
      <c r="L32" s="117"/>
      <c r="M32" s="117"/>
      <c r="AB32" s="623" t="s">
        <v>34</v>
      </c>
      <c r="AC32" s="623"/>
      <c r="AD32" s="623"/>
      <c r="AE32" s="623"/>
      <c r="AF32" s="624" t="s">
        <v>55</v>
      </c>
      <c r="AG32" s="624"/>
      <c r="AH32" s="624"/>
      <c r="AI32" s="624"/>
      <c r="AJ32" s="63"/>
      <c r="AK32" s="119"/>
      <c r="AL32" s="119"/>
      <c r="AM32" s="119"/>
      <c r="AT32" s="63"/>
      <c r="AU32" s="63"/>
      <c r="AV32" s="63"/>
      <c r="AW32" s="63"/>
      <c r="AX32" s="63"/>
      <c r="AY32" s="63"/>
      <c r="BC32" s="63"/>
      <c r="BD32" s="63"/>
      <c r="BE32" s="63"/>
      <c r="BF32" s="63"/>
      <c r="BG32" s="63"/>
      <c r="BH32" s="63"/>
      <c r="BI32" s="63"/>
    </row>
    <row r="33" spans="1:51" ht="6" customHeight="1" x14ac:dyDescent="0.25">
      <c r="B33" s="197"/>
      <c r="C33" s="40"/>
      <c r="D33" s="120"/>
      <c r="E33" s="121"/>
      <c r="F33" s="122"/>
      <c r="G33" s="122"/>
      <c r="H33" s="122"/>
      <c r="I33" s="625" t="s">
        <v>131</v>
      </c>
      <c r="J33" s="627" t="s">
        <v>132</v>
      </c>
      <c r="K33" s="627" t="s">
        <v>133</v>
      </c>
      <c r="L33" s="117"/>
      <c r="M33" s="117"/>
      <c r="AA33" s="123"/>
      <c r="AB33" s="124"/>
      <c r="AC33" s="125"/>
      <c r="AD33" s="125"/>
      <c r="AE33" s="125"/>
      <c r="AF33" s="125"/>
      <c r="AG33" s="124"/>
      <c r="AH33" s="124"/>
      <c r="AI33" s="126"/>
      <c r="AL33" s="127"/>
      <c r="AM33" s="127"/>
      <c r="AN33" s="63"/>
      <c r="AT33" s="63"/>
      <c r="AU33" s="63"/>
      <c r="AV33" s="63"/>
    </row>
    <row r="34" spans="1:51" ht="6.6" customHeight="1" x14ac:dyDescent="0.25">
      <c r="A34" s="128"/>
      <c r="C34" s="128"/>
      <c r="D34" s="610" t="s">
        <v>134</v>
      </c>
      <c r="E34" s="611"/>
      <c r="F34" s="612">
        <v>1.2</v>
      </c>
      <c r="G34" s="612">
        <f ca="1">(Balance!$F$9-Balance!$F$6-Balance!$F$24)/Balance!$F$20</f>
        <v>5.5258445985895494E-2</v>
      </c>
      <c r="H34" s="612">
        <f ca="1">F34*G34</f>
        <v>6.6310135183074589E-2</v>
      </c>
      <c r="I34" s="626"/>
      <c r="J34" s="628"/>
      <c r="K34" s="628"/>
      <c r="L34" s="117"/>
      <c r="M34" s="117"/>
      <c r="Z34" s="605" t="s">
        <v>96</v>
      </c>
      <c r="AA34" s="130"/>
      <c r="AB34" s="631" t="s">
        <v>135</v>
      </c>
      <c r="AC34" s="631"/>
      <c r="AD34" s="631"/>
      <c r="AE34" s="131"/>
      <c r="AF34" s="629" t="s">
        <v>136</v>
      </c>
      <c r="AG34" s="629"/>
      <c r="AH34" s="629"/>
      <c r="AI34" s="630"/>
      <c r="AK34" s="127"/>
      <c r="AL34" s="127"/>
      <c r="AM34" s="127"/>
      <c r="AN34" s="63"/>
      <c r="AT34" s="63"/>
      <c r="AU34" s="63"/>
      <c r="AV34" s="63"/>
    </row>
    <row r="35" spans="1:51" ht="6" customHeight="1" x14ac:dyDescent="0.25">
      <c r="A35" s="40"/>
      <c r="B35" s="233"/>
      <c r="C35" s="40"/>
      <c r="D35" s="610"/>
      <c r="E35" s="611"/>
      <c r="F35" s="612"/>
      <c r="G35" s="612"/>
      <c r="H35" s="612"/>
      <c r="I35" s="132"/>
      <c r="J35" s="133"/>
      <c r="K35" s="134"/>
      <c r="L35" s="117"/>
      <c r="M35" s="117"/>
      <c r="Z35" s="605"/>
      <c r="AA35" s="130"/>
      <c r="AB35" s="632"/>
      <c r="AC35" s="632"/>
      <c r="AD35" s="632"/>
      <c r="AE35" s="131"/>
      <c r="AF35" s="629"/>
      <c r="AG35" s="629"/>
      <c r="AH35" s="629"/>
      <c r="AI35" s="630"/>
      <c r="AK35" s="127"/>
      <c r="AL35" s="127"/>
      <c r="AM35" s="127"/>
      <c r="AN35" s="63"/>
      <c r="AT35" s="63"/>
      <c r="AU35" s="63"/>
      <c r="AV35" s="63"/>
    </row>
    <row r="36" spans="1:51" ht="6.6" customHeight="1" x14ac:dyDescent="0.25">
      <c r="A36" s="135"/>
      <c r="B36" s="233"/>
      <c r="C36" s="135"/>
      <c r="D36" s="136"/>
      <c r="E36" s="92"/>
      <c r="F36" s="137"/>
      <c r="G36" s="137"/>
      <c r="H36" s="137"/>
      <c r="I36" s="616" t="s">
        <v>137</v>
      </c>
      <c r="J36" s="614">
        <f ca="1">IF(H50&lt;=1.81,IF(H50=0,"0.0",H50),0)</f>
        <v>0</v>
      </c>
      <c r="K36" s="615" t="s">
        <v>138</v>
      </c>
      <c r="L36" s="117"/>
      <c r="M36" s="117"/>
      <c r="Z36" s="605"/>
      <c r="AA36" s="130"/>
      <c r="AB36" s="606" t="s">
        <v>139</v>
      </c>
      <c r="AC36" s="606"/>
      <c r="AD36" s="606"/>
      <c r="AE36" s="131"/>
      <c r="AF36" s="629"/>
      <c r="AG36" s="629"/>
      <c r="AH36" s="629"/>
      <c r="AI36" s="630"/>
      <c r="AK36" s="127"/>
      <c r="AL36" s="127"/>
      <c r="AM36" s="127"/>
      <c r="AN36" s="63"/>
      <c r="AT36" s="63"/>
      <c r="AU36" s="63"/>
      <c r="AV36" s="63"/>
    </row>
    <row r="37" spans="1:51" ht="6.6" customHeight="1" x14ac:dyDescent="0.25">
      <c r="B37" s="197"/>
      <c r="D37" s="610" t="s">
        <v>140</v>
      </c>
      <c r="E37" s="611"/>
      <c r="F37" s="612">
        <v>1.4</v>
      </c>
      <c r="G37" s="612">
        <f ca="1">Balance!$F$29/Balance!$F$20</f>
        <v>0.31154875535508969</v>
      </c>
      <c r="H37" s="612">
        <f ca="1">F37*G37</f>
        <v>0.43616825749712557</v>
      </c>
      <c r="I37" s="616"/>
      <c r="J37" s="614"/>
      <c r="K37" s="615"/>
      <c r="L37" s="117"/>
      <c r="M37" s="117"/>
      <c r="Z37" s="605"/>
      <c r="AA37" s="130"/>
      <c r="AB37" s="606"/>
      <c r="AC37" s="606"/>
      <c r="AD37" s="606"/>
      <c r="AE37" s="131"/>
      <c r="AF37" s="629"/>
      <c r="AG37" s="629"/>
      <c r="AH37" s="629"/>
      <c r="AI37" s="630"/>
      <c r="AL37" s="119"/>
      <c r="AM37" s="119"/>
      <c r="AN37" s="63"/>
      <c r="AT37" s="63"/>
      <c r="AU37" s="63"/>
      <c r="AV37" s="63"/>
    </row>
    <row r="38" spans="1:51" ht="6" customHeight="1" x14ac:dyDescent="0.25">
      <c r="A38" s="13"/>
      <c r="C38" s="13"/>
      <c r="D38" s="610"/>
      <c r="E38" s="611"/>
      <c r="F38" s="612"/>
      <c r="G38" s="612"/>
      <c r="H38" s="612"/>
      <c r="I38" s="616"/>
      <c r="J38" s="614"/>
      <c r="K38" s="615"/>
      <c r="L38" s="117"/>
      <c r="M38" s="117"/>
      <c r="AA38" s="130"/>
      <c r="AB38" s="140"/>
      <c r="AC38" s="131"/>
      <c r="AD38" s="131"/>
      <c r="AE38" s="131"/>
      <c r="AF38" s="141"/>
      <c r="AG38" s="141"/>
      <c r="AH38" s="141"/>
      <c r="AI38" s="142"/>
      <c r="AK38" s="119"/>
      <c r="AL38" s="119"/>
      <c r="AM38" s="119"/>
      <c r="AN38" s="63"/>
      <c r="AT38" s="63"/>
      <c r="AU38" s="63"/>
      <c r="AV38" s="63"/>
      <c r="AW38" s="5"/>
      <c r="AX38" s="5"/>
      <c r="AY38" s="5"/>
    </row>
    <row r="39" spans="1:51" ht="6.6" customHeight="1" x14ac:dyDescent="0.25">
      <c r="A39" s="13"/>
      <c r="C39" s="13"/>
      <c r="D39" s="136"/>
      <c r="E39" s="92"/>
      <c r="F39" s="137"/>
      <c r="G39" s="137"/>
      <c r="H39" s="137"/>
      <c r="I39" s="616" t="s">
        <v>141</v>
      </c>
      <c r="J39" s="618">
        <f ca="1">IF(AND(H50&gt;1.81,H50&lt;2.99),H50,0)</f>
        <v>0</v>
      </c>
      <c r="K39" s="615" t="s">
        <v>142</v>
      </c>
      <c r="L39" s="117"/>
      <c r="M39" s="117"/>
      <c r="Z39" s="605" t="s">
        <v>143</v>
      </c>
      <c r="AA39" s="130"/>
      <c r="AB39" s="619" t="s">
        <v>144</v>
      </c>
      <c r="AC39" s="619"/>
      <c r="AD39" s="619"/>
      <c r="AE39" s="131"/>
      <c r="AF39" s="608" t="str">
        <f ca="1">TEXT(AB50,"0,0")&amp;" Units"&amp;" * "&amp;TEXT(Income!F7/(SUM(Units)*(1+SUMPRODUCT(Units,UnitsCAGR)/SUM(Units))),"0.00")&amp;" / Unit"</f>
        <v>440 Units * 9.13 / Unit</v>
      </c>
      <c r="AG39" s="608"/>
      <c r="AH39" s="608"/>
      <c r="AI39" s="609"/>
      <c r="AK39" s="119"/>
      <c r="AL39" s="119"/>
      <c r="AM39" s="119"/>
      <c r="AN39" s="63"/>
      <c r="AT39" s="63"/>
      <c r="AU39" s="143"/>
      <c r="AV39" s="143"/>
      <c r="AW39" s="143"/>
      <c r="AX39" s="143"/>
      <c r="AY39" s="143"/>
    </row>
    <row r="40" spans="1:51" ht="6" customHeight="1" x14ac:dyDescent="0.25">
      <c r="D40" s="610" t="s">
        <v>145</v>
      </c>
      <c r="E40" s="611"/>
      <c r="F40" s="612">
        <v>3.3</v>
      </c>
      <c r="G40" s="612">
        <f ca="1">Income!$F$22/Balance!$F$20</f>
        <v>0.37224595571659136</v>
      </c>
      <c r="H40" s="612">
        <f ca="1">F40*G40</f>
        <v>1.2284116538647514</v>
      </c>
      <c r="I40" s="616"/>
      <c r="J40" s="618"/>
      <c r="K40" s="615"/>
      <c r="L40" s="117"/>
      <c r="M40" s="117"/>
      <c r="Z40" s="605"/>
      <c r="AA40" s="130"/>
      <c r="AB40" s="620"/>
      <c r="AC40" s="620"/>
      <c r="AD40" s="620"/>
      <c r="AE40" s="131"/>
      <c r="AF40" s="608"/>
      <c r="AG40" s="608"/>
      <c r="AH40" s="608"/>
      <c r="AI40" s="609"/>
      <c r="AK40" s="119"/>
      <c r="AL40" s="119"/>
      <c r="AM40" s="119"/>
      <c r="AN40" s="63"/>
      <c r="AT40" s="63"/>
      <c r="AU40" s="63"/>
      <c r="AV40" s="63"/>
      <c r="AX40" s="12"/>
      <c r="AY40" s="12"/>
    </row>
    <row r="41" spans="1:51" ht="6.6" customHeight="1" x14ac:dyDescent="0.3">
      <c r="A41" s="68"/>
      <c r="C41" s="68"/>
      <c r="D41" s="610"/>
      <c r="E41" s="611"/>
      <c r="F41" s="612"/>
      <c r="G41" s="612"/>
      <c r="H41" s="612"/>
      <c r="I41" s="616"/>
      <c r="J41" s="618"/>
      <c r="K41" s="615"/>
      <c r="L41" s="117"/>
      <c r="M41" s="117"/>
      <c r="Z41" s="605"/>
      <c r="AA41" s="130"/>
      <c r="AB41" s="617" t="s">
        <v>146</v>
      </c>
      <c r="AC41" s="617"/>
      <c r="AD41" s="617"/>
      <c r="AE41" s="131"/>
      <c r="AF41" s="608"/>
      <c r="AG41" s="608"/>
      <c r="AH41" s="608"/>
      <c r="AI41" s="609"/>
      <c r="AK41" s="119"/>
      <c r="AL41" s="119"/>
      <c r="AM41" s="119"/>
      <c r="AN41" s="76"/>
      <c r="AT41" s="118"/>
      <c r="AU41" s="63"/>
      <c r="AV41" s="63"/>
    </row>
    <row r="42" spans="1:51" ht="6" customHeight="1" x14ac:dyDescent="0.25">
      <c r="A42" s="68"/>
      <c r="C42" s="68"/>
      <c r="D42" s="136"/>
      <c r="E42" s="92"/>
      <c r="F42" s="137"/>
      <c r="G42" s="137"/>
      <c r="H42" s="137"/>
      <c r="I42" s="616" t="s">
        <v>147</v>
      </c>
      <c r="J42" s="614">
        <f ca="1">IF(H50&gt;=2.99,H50,0)</f>
        <v>11.402366293931507</v>
      </c>
      <c r="K42" s="615" t="s">
        <v>148</v>
      </c>
      <c r="L42" s="117"/>
      <c r="M42" s="117"/>
      <c r="Z42" s="605"/>
      <c r="AA42" s="130"/>
      <c r="AB42" s="617"/>
      <c r="AC42" s="617"/>
      <c r="AD42" s="617"/>
      <c r="AE42" s="131"/>
      <c r="AF42" s="608"/>
      <c r="AG42" s="608"/>
      <c r="AH42" s="608"/>
      <c r="AI42" s="609"/>
      <c r="AK42" s="144"/>
      <c r="AL42" s="144"/>
      <c r="AM42" s="144"/>
      <c r="AN42" s="63"/>
      <c r="AT42" s="63"/>
      <c r="AU42" s="63"/>
      <c r="AV42" s="63"/>
    </row>
    <row r="43" spans="1:51" ht="6.6" customHeight="1" x14ac:dyDescent="0.25">
      <c r="D43" s="610" t="s">
        <v>149</v>
      </c>
      <c r="E43" s="611"/>
      <c r="F43" s="612">
        <v>0.6</v>
      </c>
      <c r="G43" s="612">
        <f ca="1">Valuation!$H$28/Balance!$F$26</f>
        <v>9.018530502454368</v>
      </c>
      <c r="H43" s="612">
        <f ca="1">F43*G43</f>
        <v>5.4111183014726203</v>
      </c>
      <c r="I43" s="616"/>
      <c r="J43" s="614"/>
      <c r="K43" s="615"/>
      <c r="L43" s="117"/>
      <c r="M43" s="117"/>
      <c r="AA43" s="130"/>
      <c r="AB43" s="140"/>
      <c r="AC43" s="131"/>
      <c r="AD43" s="131"/>
      <c r="AE43" s="131"/>
      <c r="AF43" s="141"/>
      <c r="AG43" s="141"/>
      <c r="AH43" s="141"/>
      <c r="AI43" s="142"/>
      <c r="AK43" s="144"/>
      <c r="AL43" s="144"/>
      <c r="AM43" s="144"/>
      <c r="AN43" s="63"/>
      <c r="AT43" s="63"/>
      <c r="AU43" s="63"/>
      <c r="AV43" s="63"/>
    </row>
    <row r="44" spans="1:51" ht="6" customHeight="1" x14ac:dyDescent="0.25">
      <c r="D44" s="610"/>
      <c r="E44" s="611"/>
      <c r="F44" s="612"/>
      <c r="G44" s="612"/>
      <c r="H44" s="612"/>
      <c r="I44" s="616"/>
      <c r="J44" s="614"/>
      <c r="K44" s="615"/>
      <c r="L44" s="117"/>
      <c r="M44" s="117"/>
      <c r="N44" s="113"/>
      <c r="Z44" s="605" t="s">
        <v>97</v>
      </c>
      <c r="AA44" s="130"/>
      <c r="AB44" s="140"/>
      <c r="AC44" s="606">
        <f ca="1">Income!F14+Income!F21</f>
        <v>1045.1195528213048</v>
      </c>
      <c r="AD44" s="145"/>
      <c r="AE44" s="131"/>
      <c r="AF44" s="608" t="str">
        <f ca="1">TEXT(   AB50,"0")&amp;" * "&amp;TEXT(Income!F7/(SUM(Units)*(1+SUMPRODUCT(Units,UnitsCAGR)/SUM(Units))),"0.00")</f>
        <v>440 * 9.13</v>
      </c>
      <c r="AG44" s="608"/>
      <c r="AH44" s="608"/>
      <c r="AI44" s="609"/>
      <c r="AL44" s="144"/>
      <c r="AM44" s="144"/>
      <c r="AN44" s="63"/>
      <c r="AO44" s="146"/>
      <c r="AP44" s="146"/>
      <c r="AQ44" s="146"/>
      <c r="AR44" s="146"/>
      <c r="AS44" s="146"/>
      <c r="AT44" s="63"/>
      <c r="AU44" s="63"/>
      <c r="AV44" s="63"/>
    </row>
    <row r="45" spans="1:51" ht="6.6" customHeight="1" x14ac:dyDescent="0.25">
      <c r="D45" s="136"/>
      <c r="E45" s="92"/>
      <c r="F45" s="137"/>
      <c r="G45" s="137"/>
      <c r="H45" s="137"/>
      <c r="I45" s="132"/>
      <c r="J45" s="133"/>
      <c r="K45" s="134"/>
      <c r="L45" s="117"/>
      <c r="M45" s="117"/>
      <c r="N45" s="113"/>
      <c r="Z45" s="605"/>
      <c r="AA45" s="130"/>
      <c r="AB45" s="140"/>
      <c r="AC45" s="607"/>
      <c r="AD45" s="145"/>
      <c r="AE45" s="131"/>
      <c r="AF45" s="608"/>
      <c r="AG45" s="608"/>
      <c r="AH45" s="608"/>
      <c r="AI45" s="609"/>
      <c r="AK45" s="127"/>
      <c r="AL45" s="119"/>
      <c r="AM45" s="119"/>
      <c r="AN45" s="63"/>
      <c r="AO45" s="63"/>
      <c r="AP45" s="63"/>
      <c r="AQ45" s="63"/>
      <c r="AR45" s="63"/>
      <c r="AS45" s="63"/>
      <c r="AT45" s="63"/>
      <c r="AU45" s="63"/>
      <c r="AV45" s="63"/>
    </row>
    <row r="46" spans="1:51" ht="6" customHeight="1" x14ac:dyDescent="0.25">
      <c r="D46" s="610" t="s">
        <v>150</v>
      </c>
      <c r="E46" s="611"/>
      <c r="F46" s="612">
        <v>1</v>
      </c>
      <c r="G46" s="612">
        <f ca="1">Income!$F$7/Balance!$F$20</f>
        <v>4.2603579459139356</v>
      </c>
      <c r="H46" s="612">
        <f ca="1">F46*G46</f>
        <v>4.2603579459139356</v>
      </c>
      <c r="I46" s="132"/>
      <c r="J46" s="133"/>
      <c r="K46" s="134"/>
      <c r="L46" s="117"/>
      <c r="M46" s="117"/>
      <c r="N46" s="113"/>
      <c r="Z46" s="605"/>
      <c r="AA46" s="130"/>
      <c r="AB46" s="140"/>
      <c r="AC46" s="613" t="str">
        <f ca="1">TEXT(    (Income!F7-Income!F8)/(SUM(Units)*(1+SUMPRODUCT(Units,UnitsCAGR)/SUM(Units))),"0.00")</f>
        <v>2.37</v>
      </c>
      <c r="AD46" s="147"/>
      <c r="AE46" s="131"/>
      <c r="AF46" s="608"/>
      <c r="AG46" s="608"/>
      <c r="AH46" s="608"/>
      <c r="AI46" s="609"/>
      <c r="AK46" s="148"/>
      <c r="AL46" s="119"/>
      <c r="AM46" s="119"/>
      <c r="AN46" s="63"/>
      <c r="AO46" s="63"/>
      <c r="AP46" s="63"/>
      <c r="AQ46" s="63"/>
      <c r="AR46" s="63"/>
      <c r="AS46" s="63"/>
      <c r="AT46" s="63"/>
      <c r="AU46" s="63"/>
      <c r="AV46" s="63"/>
    </row>
    <row r="47" spans="1:51" ht="6.6" customHeight="1" x14ac:dyDescent="0.25">
      <c r="D47" s="610"/>
      <c r="E47" s="611"/>
      <c r="F47" s="612"/>
      <c r="G47" s="612"/>
      <c r="H47" s="612"/>
      <c r="I47" s="132"/>
      <c r="J47" s="133"/>
      <c r="K47" s="134"/>
      <c r="L47" s="117"/>
      <c r="M47" s="117"/>
      <c r="N47" s="113"/>
      <c r="Z47" s="605"/>
      <c r="AA47" s="130"/>
      <c r="AB47" s="147"/>
      <c r="AC47" s="613"/>
      <c r="AD47" s="147"/>
      <c r="AE47" s="131"/>
      <c r="AF47" s="141"/>
      <c r="AG47" s="141"/>
      <c r="AH47" s="141"/>
      <c r="AI47" s="142"/>
      <c r="AL47" s="63"/>
      <c r="AM47" s="63"/>
      <c r="AN47" s="63"/>
      <c r="AO47" s="63"/>
      <c r="AP47" s="63"/>
      <c r="AQ47" s="63"/>
      <c r="AR47" s="63"/>
      <c r="AS47" s="63"/>
      <c r="AT47" s="63"/>
      <c r="AU47" s="63"/>
      <c r="AV47" s="63"/>
    </row>
    <row r="48" spans="1:51" ht="3" customHeight="1" x14ac:dyDescent="0.25">
      <c r="D48" s="136"/>
      <c r="E48" s="92"/>
      <c r="F48" s="129"/>
      <c r="G48" s="149"/>
      <c r="H48" s="150"/>
      <c r="I48" s="132"/>
      <c r="J48" s="133"/>
      <c r="K48" s="134"/>
      <c r="L48" s="117"/>
      <c r="M48" s="117"/>
      <c r="AA48" s="130"/>
      <c r="AB48" s="140"/>
      <c r="AC48" s="131"/>
      <c r="AD48" s="131"/>
      <c r="AE48" s="131"/>
      <c r="AF48" s="131"/>
      <c r="AG48" s="140"/>
      <c r="AH48" s="140"/>
      <c r="AI48" s="151"/>
      <c r="AL48" s="63"/>
      <c r="AM48" s="63"/>
      <c r="AN48" s="63"/>
    </row>
    <row r="49" spans="1:48" ht="3" customHeight="1" x14ac:dyDescent="0.25">
      <c r="D49" s="136"/>
      <c r="E49" s="92"/>
      <c r="F49" s="129"/>
      <c r="G49" s="149"/>
      <c r="H49" s="137"/>
      <c r="I49" s="132"/>
      <c r="J49" s="133"/>
      <c r="K49" s="134"/>
      <c r="L49" s="117"/>
      <c r="M49" s="117"/>
      <c r="AA49" s="130"/>
      <c r="AB49" s="140"/>
      <c r="AC49" s="131"/>
      <c r="AD49" s="131"/>
      <c r="AE49" s="131"/>
      <c r="AF49" s="131"/>
      <c r="AG49" s="140"/>
      <c r="AH49" s="140"/>
      <c r="AI49" s="151"/>
      <c r="AL49" s="63"/>
      <c r="AM49" s="63"/>
      <c r="AN49" s="63"/>
    </row>
    <row r="50" spans="1:48" s="113" customFormat="1" ht="15" customHeight="1" x14ac:dyDescent="0.25">
      <c r="A50" s="152"/>
      <c r="B50" s="67"/>
      <c r="C50" s="152"/>
      <c r="D50" s="599" t="s">
        <v>151</v>
      </c>
      <c r="E50" s="600"/>
      <c r="F50" s="137"/>
      <c r="G50" s="137"/>
      <c r="H50" s="138">
        <f ca="1">SUM(H34:H47)</f>
        <v>11.402366293931507</v>
      </c>
      <c r="I50" s="153"/>
      <c r="J50" s="30"/>
      <c r="K50" s="154"/>
      <c r="L50" s="117"/>
      <c r="M50" s="117"/>
      <c r="Z50" s="155" t="s">
        <v>152</v>
      </c>
      <c r="AA50" s="156"/>
      <c r="AB50" s="601">
        <f ca="1">SUM(Income!F14,Income!F21)/((Income!F7-Income!F8) / (SUM(Units)*(1+SUMPRODUCT(Units,UnitsCAGR)/SUM(Units))))</f>
        <v>440.4182567347612</v>
      </c>
      <c r="AC50" s="601"/>
      <c r="AD50" s="601"/>
      <c r="AE50" s="139"/>
      <c r="AF50" s="602">
        <f ca="1">AB50*(Income!F7/(SUM(Units)*(1+SUMPRODUCT(Units,UnitsCAGR)/SUM(Units))))</f>
        <v>4021.6583773968405</v>
      </c>
      <c r="AG50" s="602"/>
      <c r="AH50" s="602"/>
      <c r="AI50" s="157"/>
      <c r="AO50" s="152"/>
      <c r="AP50" s="158"/>
      <c r="AQ50" s="159"/>
      <c r="AR50" s="160"/>
      <c r="AS50" s="161"/>
      <c r="AT50" s="160"/>
      <c r="AU50" s="160"/>
      <c r="AV50" s="160"/>
    </row>
    <row r="51" spans="1:48" ht="6" customHeight="1" x14ac:dyDescent="0.25">
      <c r="D51" s="162"/>
      <c r="E51" s="163"/>
      <c r="F51" s="164"/>
      <c r="G51" s="164"/>
      <c r="H51" s="164"/>
      <c r="I51" s="164"/>
      <c r="J51" s="165"/>
      <c r="K51" s="166"/>
      <c r="L51" s="117"/>
      <c r="M51" s="117"/>
      <c r="AA51" s="167"/>
      <c r="AB51" s="168"/>
      <c r="AC51" s="169"/>
      <c r="AD51" s="169"/>
      <c r="AE51" s="169"/>
      <c r="AF51" s="169"/>
      <c r="AG51" s="168"/>
      <c r="AH51" s="168"/>
      <c r="AI51" s="170"/>
      <c r="AL51" s="63"/>
      <c r="AM51" s="63"/>
      <c r="AN51" s="113"/>
    </row>
    <row r="52" spans="1:48" x14ac:dyDescent="0.25">
      <c r="D52" s="603" t="s">
        <v>153</v>
      </c>
      <c r="E52" s="603"/>
      <c r="F52" s="603"/>
      <c r="L52" s="117"/>
      <c r="M52" s="117"/>
      <c r="AC52" s="63"/>
      <c r="AD52" s="63"/>
      <c r="AE52" s="63"/>
      <c r="AF52" s="63"/>
      <c r="AL52" s="63"/>
      <c r="AM52" s="63"/>
      <c r="AN52" s="63"/>
      <c r="AO52" s="63"/>
      <c r="AP52" s="63"/>
      <c r="AQ52" s="63"/>
      <c r="AR52" s="63"/>
      <c r="AS52" s="63"/>
    </row>
    <row r="53" spans="1:48" x14ac:dyDescent="0.25">
      <c r="D53" s="604"/>
      <c r="E53" s="604"/>
      <c r="F53" s="604"/>
      <c r="L53" s="117"/>
      <c r="M53" s="117"/>
      <c r="AC53" s="63"/>
      <c r="AD53" s="63"/>
      <c r="AE53" s="63"/>
      <c r="AF53" s="63"/>
      <c r="AL53" s="63"/>
      <c r="AM53" s="63"/>
      <c r="AN53" s="63"/>
      <c r="AO53" s="63"/>
      <c r="AP53" s="63"/>
      <c r="AQ53" s="63"/>
      <c r="AR53" s="63"/>
      <c r="AS53" s="63"/>
    </row>
    <row r="54" spans="1:48" x14ac:dyDescent="0.25">
      <c r="L54" s="117"/>
      <c r="M54" s="117"/>
    </row>
    <row r="55" spans="1:48" ht="12.6" customHeight="1" x14ac:dyDescent="0.25">
      <c r="J55" s="63"/>
      <c r="K55" s="63"/>
      <c r="L55" s="63"/>
      <c r="M55" s="117"/>
    </row>
    <row r="56" spans="1:48" ht="12.6" customHeight="1" x14ac:dyDescent="0.25">
      <c r="J56" s="63"/>
      <c r="K56" s="63"/>
      <c r="L56" s="63"/>
      <c r="M56" s="117"/>
    </row>
  </sheetData>
  <sheetProtection algorithmName="SHA-512" hashValue="HUVtgPZ8UKzp7SFk8RgEZm4MA5WdVRJMX2/vEuJhH0JzCu/SPXBTm+cojDUUdVOYAL45VEy/ro5Yo9MNMf4syg==" saltValue="FGqPwC5Qh/cEdZFcUekd4w==" spinCount="100000" sheet="1" objects="1" scenarios="1" selectLockedCells="1" selectUnlockedCells="1"/>
  <mergeCells count="99">
    <mergeCell ref="C5:L5"/>
    <mergeCell ref="N5:W5"/>
    <mergeCell ref="Y5:AJ5"/>
    <mergeCell ref="O7:V7"/>
    <mergeCell ref="AD11:AH12"/>
    <mergeCell ref="AI11:AI12"/>
    <mergeCell ref="AD14:AH15"/>
    <mergeCell ref="AI14:AI15"/>
    <mergeCell ref="D11:D12"/>
    <mergeCell ref="E11:G12"/>
    <mergeCell ref="H11:J12"/>
    <mergeCell ref="K11:K12"/>
    <mergeCell ref="Z11:AC12"/>
    <mergeCell ref="D14:D15"/>
    <mergeCell ref="E14:G15"/>
    <mergeCell ref="H14:J15"/>
    <mergeCell ref="K14:K15"/>
    <mergeCell ref="Z14:AC15"/>
    <mergeCell ref="AI17:AI18"/>
    <mergeCell ref="D20:D21"/>
    <mergeCell ref="E20:G21"/>
    <mergeCell ref="H20:J21"/>
    <mergeCell ref="K20:K21"/>
    <mergeCell ref="Z20:AC21"/>
    <mergeCell ref="AD20:AH21"/>
    <mergeCell ref="AI20:AI21"/>
    <mergeCell ref="D17:D18"/>
    <mergeCell ref="E17:G18"/>
    <mergeCell ref="H17:J18"/>
    <mergeCell ref="K17:K18"/>
    <mergeCell ref="Z17:AC18"/>
    <mergeCell ref="AD17:AH18"/>
    <mergeCell ref="AI23:AI24"/>
    <mergeCell ref="D26:D27"/>
    <mergeCell ref="E26:G27"/>
    <mergeCell ref="H26:J27"/>
    <mergeCell ref="K26:K27"/>
    <mergeCell ref="Z26:AC27"/>
    <mergeCell ref="AD26:AH27"/>
    <mergeCell ref="AI26:AI27"/>
    <mergeCell ref="D23:D24"/>
    <mergeCell ref="E23:G24"/>
    <mergeCell ref="H23:J24"/>
    <mergeCell ref="K23:K24"/>
    <mergeCell ref="Z23:AC24"/>
    <mergeCell ref="AD23:AH24"/>
    <mergeCell ref="O30:V30"/>
    <mergeCell ref="I32:K32"/>
    <mergeCell ref="AB32:AE32"/>
    <mergeCell ref="AF32:AI32"/>
    <mergeCell ref="I33:I34"/>
    <mergeCell ref="J33:J34"/>
    <mergeCell ref="K33:K34"/>
    <mergeCell ref="AF34:AI37"/>
    <mergeCell ref="AB34:AD35"/>
    <mergeCell ref="I36:I38"/>
    <mergeCell ref="J36:J38"/>
    <mergeCell ref="K36:K38"/>
    <mergeCell ref="AB36:AD37"/>
    <mergeCell ref="D34:E35"/>
    <mergeCell ref="F34:F35"/>
    <mergeCell ref="G34:G35"/>
    <mergeCell ref="H34:H35"/>
    <mergeCell ref="Z34:Z37"/>
    <mergeCell ref="D37:E38"/>
    <mergeCell ref="F37:F38"/>
    <mergeCell ref="G37:G38"/>
    <mergeCell ref="H37:H38"/>
    <mergeCell ref="F43:F44"/>
    <mergeCell ref="I39:I41"/>
    <mergeCell ref="AF39:AI42"/>
    <mergeCell ref="D40:E41"/>
    <mergeCell ref="F40:F41"/>
    <mergeCell ref="G40:G41"/>
    <mergeCell ref="H40:H41"/>
    <mergeCell ref="AB41:AD42"/>
    <mergeCell ref="I42:I44"/>
    <mergeCell ref="J39:J41"/>
    <mergeCell ref="G43:G44"/>
    <mergeCell ref="H43:H44"/>
    <mergeCell ref="K39:K41"/>
    <mergeCell ref="Z39:Z42"/>
    <mergeCell ref="AB39:AD40"/>
    <mergeCell ref="C3:D4"/>
    <mergeCell ref="D50:E50"/>
    <mergeCell ref="AB50:AD50"/>
    <mergeCell ref="AF50:AH50"/>
    <mergeCell ref="D52:F53"/>
    <mergeCell ref="Z44:Z47"/>
    <mergeCell ref="AC44:AC45"/>
    <mergeCell ref="AF44:AI46"/>
    <mergeCell ref="D46:E47"/>
    <mergeCell ref="F46:F47"/>
    <mergeCell ref="G46:G47"/>
    <mergeCell ref="H46:H47"/>
    <mergeCell ref="AC46:AC47"/>
    <mergeCell ref="J42:J44"/>
    <mergeCell ref="K42:K44"/>
    <mergeCell ref="D43:E44"/>
  </mergeCells>
  <conditionalFormatting sqref="I36:I38">
    <cfRule type="expression" dxfId="8" priority="1">
      <formula>IF($J$36=0,FALSE,TRUE)</formula>
    </cfRule>
  </conditionalFormatting>
  <conditionalFormatting sqref="I39:I41">
    <cfRule type="expression" dxfId="7" priority="4">
      <formula>IF($J$39=0,FALSE,TRUE)</formula>
    </cfRule>
  </conditionalFormatting>
  <conditionalFormatting sqref="I42:I44">
    <cfRule type="expression" dxfId="6" priority="7">
      <formula>IF($J$42=0,FALSE,TRUE)</formula>
    </cfRule>
  </conditionalFormatting>
  <conditionalFormatting sqref="J36:J38">
    <cfRule type="expression" dxfId="5" priority="2">
      <formula>IF($J$36=0,FALSE,TRUE)</formula>
    </cfRule>
  </conditionalFormatting>
  <conditionalFormatting sqref="J39:J41">
    <cfRule type="expression" dxfId="4" priority="5">
      <formula>IF($J$39=0,FALSE,TRUE)</formula>
    </cfRule>
  </conditionalFormatting>
  <conditionalFormatting sqref="J42:J44">
    <cfRule type="expression" dxfId="3" priority="8">
      <formula>IF($J$42=0,FALSE,TRUE)</formula>
    </cfRule>
  </conditionalFormatting>
  <conditionalFormatting sqref="K36:K38">
    <cfRule type="expression" dxfId="2" priority="3">
      <formula>IF($J$36=0,FALSE,TRUE)</formula>
    </cfRule>
  </conditionalFormatting>
  <conditionalFormatting sqref="K39:K41">
    <cfRule type="expression" dxfId="1" priority="6">
      <formula>IF($J$39=0,FALSE,TRUE)</formula>
    </cfRule>
  </conditionalFormatting>
  <conditionalFormatting sqref="K42:K44">
    <cfRule type="expression" dxfId="0" priority="9">
      <formula>IF($J$42=0,FALSE,TRUE)</formula>
    </cfRule>
  </conditionalFormatting>
  <pageMargins left="0.7" right="0.7" top="0.75" bottom="0.75" header="0.3" footer="0.3"/>
  <pageSetup orientation="portrait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AF091-6544-46CE-A1DA-C8F133C65552}">
  <sheetPr codeName="Sheet10">
    <tabColor theme="0"/>
  </sheetPr>
  <dimension ref="A1:EY49"/>
  <sheetViews>
    <sheetView showGridLines="0" showRowColHeaders="0" showZeros="0" workbookViewId="0"/>
  </sheetViews>
  <sheetFormatPr defaultColWidth="9.109375" defaultRowHeight="14.4" x14ac:dyDescent="0.3"/>
  <cols>
    <col min="1" max="1" width="3" style="5" customWidth="1"/>
    <col min="2" max="2" width="1.6640625" style="67" customWidth="1"/>
    <col min="3" max="3" width="22" style="34" customWidth="1"/>
    <col min="4" max="4" width="1.109375" style="29" customWidth="1"/>
    <col min="5" max="5" width="8.88671875" style="34" customWidth="1"/>
    <col min="6" max="6" width="1.109375" style="29" customWidth="1"/>
    <col min="7" max="7" width="8.88671875" style="34" customWidth="1"/>
    <col min="8" max="9" width="7.77734375" style="33" customWidth="1"/>
    <col min="10" max="10" width="1.109375" style="33" customWidth="1"/>
    <col min="11" max="11" width="8.88671875" style="34" customWidth="1"/>
    <col min="12" max="13" width="7.77734375" style="33" customWidth="1"/>
    <col min="14" max="14" width="1.109375" style="29" customWidth="1"/>
    <col min="15" max="15" width="8.88671875" style="34" customWidth="1"/>
    <col min="16" max="17" width="7.77734375" style="33" customWidth="1"/>
    <col min="18" max="18" width="1.109375" style="29" customWidth="1"/>
    <col min="19" max="19" width="8.88671875" style="34" customWidth="1"/>
    <col min="20" max="21" width="7.77734375" style="33" customWidth="1"/>
    <col min="22" max="22" width="9.109375" style="34" collapsed="1"/>
    <col min="23" max="51" width="9.109375" style="35"/>
    <col min="52" max="53" width="7.44140625" style="17" customWidth="1"/>
    <col min="54" max="56" width="0.109375" style="524" customWidth="1"/>
    <col min="57" max="57" width="0.109375" style="525" customWidth="1"/>
    <col min="58" max="58" width="0.109375" style="524" customWidth="1"/>
    <col min="59" max="59" width="0.109375" style="525" customWidth="1"/>
    <col min="60" max="63" width="0.109375" style="524" customWidth="1"/>
    <col min="64" max="64" width="0.109375" style="525" customWidth="1"/>
    <col min="65" max="69" width="0.109375" style="524" customWidth="1"/>
    <col min="70" max="70" width="0.109375" style="525" customWidth="1"/>
    <col min="71" max="76" width="0.109375" style="524" customWidth="1"/>
    <col min="77" max="77" width="0.109375" style="525" customWidth="1"/>
    <col min="78" max="85" width="0.109375" style="524" customWidth="1"/>
    <col min="86" max="86" width="0.109375" style="525" customWidth="1"/>
    <col min="87" max="153" width="0.109375" style="524" customWidth="1"/>
    <col min="154" max="154" width="0.109375" style="526" customWidth="1"/>
    <col min="155" max="155" width="7.44140625" style="5" customWidth="1"/>
    <col min="156" max="16384" width="9.109375" style="34"/>
  </cols>
  <sheetData>
    <row r="1" spans="1:155" s="2" customFormat="1" ht="10.199999999999999" x14ac:dyDescent="0.2">
      <c r="A1" s="1" t="s">
        <v>0</v>
      </c>
      <c r="O1" s="3"/>
      <c r="S1" s="4"/>
      <c r="U1" s="4"/>
      <c r="AZ1" s="17"/>
      <c r="BA1" s="17"/>
      <c r="BB1" s="468"/>
      <c r="BC1" s="469"/>
      <c r="BD1" s="469"/>
      <c r="BE1" s="470"/>
      <c r="BF1" s="469"/>
      <c r="BG1" s="470"/>
      <c r="BH1" s="469"/>
      <c r="BI1" s="469"/>
      <c r="BJ1" s="469"/>
      <c r="BK1" s="469"/>
      <c r="BL1" s="470"/>
      <c r="BM1" s="469"/>
      <c r="BN1" s="469"/>
      <c r="BO1" s="469"/>
      <c r="BP1" s="468"/>
      <c r="BQ1" s="469"/>
      <c r="BR1" s="470"/>
      <c r="BS1" s="469"/>
      <c r="BT1" s="469"/>
      <c r="BU1" s="469"/>
      <c r="BV1" s="469"/>
      <c r="BW1" s="468"/>
      <c r="BX1" s="469"/>
      <c r="BY1" s="470"/>
      <c r="BZ1" s="469"/>
      <c r="CA1" s="469"/>
      <c r="CB1" s="469"/>
      <c r="CC1" s="469"/>
      <c r="CD1" s="469"/>
      <c r="CE1" s="469"/>
      <c r="CF1" s="468"/>
      <c r="CG1" s="469"/>
      <c r="CH1" s="470"/>
      <c r="CI1" s="469"/>
      <c r="CJ1" s="469"/>
      <c r="CK1" s="469"/>
      <c r="CL1" s="469"/>
      <c r="CM1" s="469"/>
      <c r="CN1" s="469"/>
      <c r="CO1" s="469"/>
      <c r="CP1" s="469"/>
      <c r="CQ1" s="469"/>
      <c r="CR1" s="469"/>
      <c r="CS1" s="469"/>
      <c r="CT1" s="469"/>
      <c r="CU1" s="469"/>
      <c r="CV1" s="469"/>
      <c r="CW1" s="469"/>
      <c r="CX1" s="469"/>
      <c r="CY1" s="469"/>
      <c r="CZ1" s="469"/>
      <c r="DA1" s="469"/>
      <c r="DB1" s="469"/>
      <c r="DC1" s="469"/>
      <c r="DD1" s="469"/>
      <c r="DE1" s="469"/>
      <c r="DF1" s="469"/>
      <c r="DG1" s="469"/>
      <c r="DH1" s="469"/>
      <c r="DI1" s="469"/>
      <c r="DJ1" s="469"/>
      <c r="DK1" s="469"/>
      <c r="DL1" s="469"/>
      <c r="DM1" s="469"/>
      <c r="DN1" s="469"/>
      <c r="DO1" s="469"/>
      <c r="DP1" s="469"/>
      <c r="DQ1" s="469"/>
      <c r="DR1" s="469"/>
      <c r="DS1" s="469"/>
      <c r="DT1" s="469"/>
      <c r="DU1" s="469"/>
      <c r="DV1" s="469"/>
      <c r="DW1" s="469"/>
      <c r="DX1" s="469"/>
      <c r="DY1" s="469"/>
      <c r="DZ1" s="469"/>
      <c r="EA1" s="469"/>
      <c r="EB1" s="469"/>
      <c r="EC1" s="469"/>
      <c r="ED1" s="469"/>
      <c r="EE1" s="469"/>
      <c r="EF1" s="469"/>
      <c r="EG1" s="469"/>
      <c r="EH1" s="469"/>
      <c r="EI1" s="469"/>
      <c r="EJ1" s="469"/>
      <c r="EK1" s="469"/>
      <c r="EL1" s="469"/>
      <c r="EM1" s="469"/>
      <c r="EN1" s="469"/>
      <c r="EO1" s="469"/>
      <c r="EP1" s="469"/>
      <c r="EQ1" s="469"/>
      <c r="ER1" s="469"/>
      <c r="ES1" s="469"/>
      <c r="ET1" s="469"/>
      <c r="EU1" s="469"/>
      <c r="EV1" s="469"/>
      <c r="EW1" s="469"/>
      <c r="EX1" s="468"/>
      <c r="EY1" s="17"/>
    </row>
    <row r="2" spans="1:155" s="5" customFormat="1" ht="10.199999999999999" x14ac:dyDescent="0.2">
      <c r="B2" s="67"/>
      <c r="D2" s="37"/>
      <c r="E2" s="37"/>
      <c r="F2" s="37"/>
      <c r="G2" s="37"/>
      <c r="H2" s="37"/>
      <c r="I2" s="37"/>
      <c r="J2" s="37"/>
      <c r="BB2" s="471"/>
      <c r="BC2" s="472"/>
      <c r="BD2" s="472"/>
      <c r="BE2" s="473"/>
      <c r="BF2" s="472"/>
      <c r="BG2" s="473"/>
      <c r="BH2" s="472"/>
      <c r="BI2" s="472"/>
      <c r="BJ2" s="472"/>
      <c r="BK2" s="472"/>
      <c r="BL2" s="473"/>
      <c r="BM2" s="472"/>
      <c r="BN2" s="472"/>
      <c r="BO2" s="472"/>
      <c r="BP2" s="471"/>
      <c r="BQ2" s="472"/>
      <c r="BR2" s="473"/>
      <c r="BS2" s="472"/>
      <c r="BT2" s="472"/>
      <c r="BU2" s="472"/>
      <c r="BV2" s="472"/>
      <c r="BW2" s="471"/>
      <c r="BX2" s="472"/>
      <c r="BY2" s="473"/>
      <c r="BZ2" s="472"/>
      <c r="CA2" s="472"/>
      <c r="CB2" s="472"/>
      <c r="CC2" s="472"/>
      <c r="CD2" s="472"/>
      <c r="CE2" s="472"/>
      <c r="CF2" s="471"/>
      <c r="CG2" s="472"/>
      <c r="CH2" s="473"/>
      <c r="CI2" s="472"/>
      <c r="CJ2" s="472"/>
      <c r="CK2" s="472"/>
      <c r="CL2" s="472"/>
      <c r="CM2" s="472"/>
      <c r="CN2" s="472"/>
      <c r="CO2" s="472"/>
      <c r="CP2" s="472"/>
      <c r="CQ2" s="472"/>
      <c r="CR2" s="472"/>
      <c r="CS2" s="472"/>
      <c r="CT2" s="472"/>
      <c r="CU2" s="472"/>
      <c r="CV2" s="472"/>
      <c r="CW2" s="472"/>
      <c r="CX2" s="472"/>
      <c r="CY2" s="472"/>
      <c r="CZ2" s="472"/>
      <c r="DA2" s="472"/>
      <c r="DB2" s="472"/>
      <c r="DC2" s="472"/>
      <c r="DD2" s="472"/>
      <c r="DE2" s="472"/>
      <c r="DF2" s="472"/>
      <c r="DG2" s="472"/>
      <c r="DH2" s="472"/>
      <c r="DI2" s="472"/>
      <c r="DJ2" s="472"/>
      <c r="DK2" s="472"/>
      <c r="DL2" s="472"/>
      <c r="DM2" s="472"/>
      <c r="DN2" s="472"/>
      <c r="DO2" s="472"/>
      <c r="DP2" s="472"/>
      <c r="DQ2" s="472"/>
      <c r="DR2" s="472"/>
      <c r="DS2" s="472"/>
      <c r="DT2" s="472"/>
      <c r="DU2" s="472"/>
      <c r="DV2" s="472"/>
      <c r="DW2" s="472"/>
      <c r="DX2" s="472"/>
      <c r="DY2" s="472"/>
      <c r="DZ2" s="472"/>
      <c r="EA2" s="472"/>
      <c r="EB2" s="472"/>
      <c r="EC2" s="472"/>
      <c r="ED2" s="472"/>
      <c r="EE2" s="472"/>
      <c r="EF2" s="472"/>
      <c r="EG2" s="472"/>
      <c r="EH2" s="472"/>
      <c r="EI2" s="472"/>
      <c r="EJ2" s="472"/>
      <c r="EK2" s="472"/>
      <c r="EL2" s="472"/>
      <c r="EM2" s="472"/>
      <c r="EN2" s="472"/>
      <c r="EO2" s="472"/>
      <c r="EP2" s="472"/>
      <c r="EQ2" s="472"/>
      <c r="ER2" s="472"/>
      <c r="ES2" s="472"/>
      <c r="ET2" s="472"/>
      <c r="EU2" s="472"/>
      <c r="EV2" s="472"/>
      <c r="EW2" s="472"/>
      <c r="EX2" s="471"/>
    </row>
    <row r="3" spans="1:155" s="5" customFormat="1" ht="21" customHeight="1" x14ac:dyDescent="0.2">
      <c r="B3" s="67"/>
      <c r="C3" s="579" t="s">
        <v>1</v>
      </c>
      <c r="D3" s="37"/>
      <c r="H3" s="37"/>
      <c r="I3" s="37"/>
      <c r="J3" s="37"/>
      <c r="BB3" s="471"/>
      <c r="BC3" s="472"/>
      <c r="BD3" s="472"/>
      <c r="BE3" s="473"/>
      <c r="BF3" s="472"/>
      <c r="BG3" s="473"/>
      <c r="BH3" s="472"/>
      <c r="BI3" s="472"/>
      <c r="BJ3" s="472"/>
      <c r="BK3" s="472"/>
      <c r="BL3" s="473"/>
      <c r="BM3" s="472"/>
      <c r="BN3" s="472"/>
      <c r="BO3" s="472"/>
      <c r="BP3" s="471"/>
      <c r="BQ3" s="472"/>
      <c r="BR3" s="473"/>
      <c r="BS3" s="472"/>
      <c r="BT3" s="472"/>
      <c r="BU3" s="472"/>
      <c r="BV3" s="472"/>
      <c r="BW3" s="471"/>
      <c r="BX3" s="472"/>
      <c r="BY3" s="473"/>
      <c r="BZ3" s="472"/>
      <c r="CA3" s="472"/>
      <c r="CB3" s="472"/>
      <c r="CC3" s="472"/>
      <c r="CD3" s="472"/>
      <c r="CE3" s="472"/>
      <c r="CF3" s="471"/>
      <c r="CG3" s="472"/>
      <c r="CH3" s="473"/>
      <c r="CI3" s="472"/>
      <c r="CJ3" s="472"/>
      <c r="CK3" s="472"/>
      <c r="CL3" s="472"/>
      <c r="CM3" s="472"/>
      <c r="CN3" s="472"/>
      <c r="CO3" s="472"/>
      <c r="CP3" s="472"/>
      <c r="CQ3" s="472"/>
      <c r="CR3" s="472"/>
      <c r="CS3" s="472"/>
      <c r="CT3" s="472"/>
      <c r="CU3" s="472"/>
      <c r="CV3" s="472"/>
      <c r="CW3" s="472"/>
      <c r="CX3" s="472"/>
      <c r="CY3" s="472"/>
      <c r="CZ3" s="472"/>
      <c r="DA3" s="472"/>
      <c r="DB3" s="472"/>
      <c r="DC3" s="472"/>
      <c r="DD3" s="472"/>
      <c r="DE3" s="472"/>
      <c r="DF3" s="472"/>
      <c r="DG3" s="472"/>
      <c r="DH3" s="472"/>
      <c r="DI3" s="472"/>
      <c r="DJ3" s="472"/>
      <c r="DK3" s="472"/>
      <c r="DL3" s="472"/>
      <c r="DM3" s="472"/>
      <c r="DN3" s="472"/>
      <c r="DO3" s="472"/>
      <c r="DP3" s="472"/>
      <c r="DQ3" s="472"/>
      <c r="DR3" s="472"/>
      <c r="DS3" s="472"/>
      <c r="DT3" s="472"/>
      <c r="DU3" s="472"/>
      <c r="DV3" s="472"/>
      <c r="DW3" s="472"/>
      <c r="DX3" s="472"/>
      <c r="DY3" s="472"/>
      <c r="DZ3" s="472"/>
      <c r="EA3" s="472"/>
      <c r="EB3" s="472"/>
      <c r="EC3" s="472"/>
      <c r="ED3" s="472"/>
      <c r="EE3" s="472"/>
      <c r="EF3" s="472"/>
      <c r="EG3" s="472"/>
      <c r="EH3" s="472"/>
      <c r="EI3" s="472"/>
      <c r="EJ3" s="472"/>
      <c r="EK3" s="472"/>
      <c r="EL3" s="472"/>
      <c r="EM3" s="472"/>
      <c r="EN3" s="472"/>
      <c r="EO3" s="472"/>
      <c r="EP3" s="472"/>
      <c r="EQ3" s="472"/>
      <c r="ER3" s="472"/>
      <c r="ES3" s="472"/>
      <c r="ET3" s="472"/>
      <c r="EU3" s="472"/>
      <c r="EV3" s="472"/>
      <c r="EW3" s="472"/>
      <c r="EX3" s="471"/>
    </row>
    <row r="4" spans="1:155" s="12" customFormat="1" ht="18" x14ac:dyDescent="0.35">
      <c r="A4" s="6"/>
      <c r="B4" s="115"/>
      <c r="C4" s="579"/>
      <c r="D4" s="7"/>
      <c r="E4" s="643" t="s">
        <v>2</v>
      </c>
      <c r="F4" s="8"/>
      <c r="G4" s="643" t="s">
        <v>3</v>
      </c>
      <c r="H4" s="642" t="s">
        <v>4</v>
      </c>
      <c r="I4" s="642" t="s">
        <v>5</v>
      </c>
      <c r="J4" s="9"/>
      <c r="K4" s="643" t="s">
        <v>6</v>
      </c>
      <c r="L4" s="642" t="s">
        <v>4</v>
      </c>
      <c r="M4" s="642" t="s">
        <v>5</v>
      </c>
      <c r="N4" s="10"/>
      <c r="O4" s="643" t="s">
        <v>7</v>
      </c>
      <c r="P4" s="642" t="s">
        <v>4</v>
      </c>
      <c r="Q4" s="642" t="s">
        <v>5</v>
      </c>
      <c r="R4" s="10"/>
      <c r="S4" s="643" t="s">
        <v>8</v>
      </c>
      <c r="T4" s="642" t="s">
        <v>4</v>
      </c>
      <c r="U4" s="642" t="s">
        <v>5</v>
      </c>
      <c r="V4" s="11"/>
      <c r="AZ4" s="46"/>
      <c r="BA4" s="46"/>
      <c r="BB4" s="474"/>
      <c r="BC4" s="474"/>
      <c r="BD4" s="474"/>
      <c r="BE4" s="475"/>
      <c r="BF4" s="474"/>
      <c r="BG4" s="476"/>
      <c r="BH4" s="474"/>
      <c r="BI4" s="474"/>
      <c r="BJ4" s="474"/>
      <c r="BK4" s="474"/>
      <c r="BL4" s="476"/>
      <c r="BM4" s="474"/>
      <c r="BN4" s="474"/>
      <c r="BO4" s="474"/>
      <c r="BP4" s="474"/>
      <c r="BQ4" s="474"/>
      <c r="BR4" s="476"/>
      <c r="BS4" s="474"/>
      <c r="BT4" s="474"/>
      <c r="BU4" s="474"/>
      <c r="BV4" s="474"/>
      <c r="BW4" s="474"/>
      <c r="BX4" s="474"/>
      <c r="BY4" s="476"/>
      <c r="BZ4" s="474"/>
      <c r="CA4" s="474"/>
      <c r="CB4" s="474"/>
      <c r="CC4" s="474"/>
      <c r="CD4" s="474"/>
      <c r="CE4" s="474"/>
      <c r="CF4" s="474"/>
      <c r="CG4" s="474"/>
      <c r="CH4" s="476"/>
      <c r="CI4" s="474"/>
      <c r="CJ4" s="474"/>
      <c r="CK4" s="474"/>
      <c r="CL4" s="474"/>
      <c r="CM4" s="474"/>
      <c r="CN4" s="474"/>
      <c r="CO4" s="474"/>
      <c r="CP4" s="474"/>
      <c r="CQ4" s="474"/>
      <c r="CR4" s="474"/>
      <c r="CS4" s="474"/>
      <c r="CT4" s="474"/>
      <c r="CU4" s="474"/>
      <c r="CV4" s="474"/>
      <c r="CW4" s="474"/>
      <c r="CX4" s="474"/>
      <c r="CY4" s="474"/>
      <c r="CZ4" s="474"/>
      <c r="DA4" s="474"/>
      <c r="DB4" s="474"/>
      <c r="DC4" s="474"/>
      <c r="DD4" s="474"/>
      <c r="DE4" s="474"/>
      <c r="DF4" s="474"/>
      <c r="DG4" s="474"/>
      <c r="DH4" s="474"/>
      <c r="DI4" s="474"/>
      <c r="DJ4" s="474"/>
      <c r="DK4" s="474"/>
      <c r="DL4" s="474"/>
      <c r="DM4" s="474"/>
      <c r="DN4" s="474"/>
      <c r="DO4" s="474"/>
      <c r="DP4" s="474"/>
      <c r="DQ4" s="474"/>
      <c r="DR4" s="474"/>
      <c r="DS4" s="474"/>
      <c r="DT4" s="474"/>
      <c r="DU4" s="474"/>
      <c r="DV4" s="474"/>
      <c r="DW4" s="474"/>
      <c r="DX4" s="474"/>
      <c r="DY4" s="474"/>
      <c r="DZ4" s="474"/>
      <c r="EA4" s="474"/>
      <c r="EB4" s="474"/>
      <c r="EC4" s="474"/>
      <c r="ED4" s="474"/>
      <c r="EE4" s="474"/>
      <c r="EF4" s="474"/>
      <c r="EG4" s="474"/>
      <c r="EH4" s="474"/>
      <c r="EI4" s="474"/>
      <c r="EJ4" s="474"/>
      <c r="EK4" s="474"/>
      <c r="EL4" s="474"/>
      <c r="EM4" s="474"/>
      <c r="EN4" s="474"/>
      <c r="EO4" s="474"/>
      <c r="EP4" s="474"/>
      <c r="EQ4" s="474"/>
      <c r="ER4" s="474"/>
      <c r="ES4" s="474"/>
      <c r="ET4" s="474"/>
      <c r="EU4" s="474"/>
      <c r="EV4" s="474"/>
      <c r="EW4" s="474"/>
      <c r="EX4" s="474"/>
      <c r="EY4" s="46"/>
    </row>
    <row r="5" spans="1:155" s="14" customFormat="1" ht="6" customHeight="1" x14ac:dyDescent="0.25">
      <c r="A5" s="13"/>
      <c r="B5" s="201"/>
      <c r="E5" s="643"/>
      <c r="F5" s="15"/>
      <c r="G5" s="643"/>
      <c r="H5" s="642"/>
      <c r="I5" s="642"/>
      <c r="J5" s="15"/>
      <c r="K5" s="643"/>
      <c r="L5" s="642"/>
      <c r="M5" s="642"/>
      <c r="N5" s="16"/>
      <c r="O5" s="643"/>
      <c r="P5" s="642"/>
      <c r="Q5" s="642"/>
      <c r="R5" s="15"/>
      <c r="S5" s="643"/>
      <c r="T5" s="642"/>
      <c r="U5" s="642"/>
      <c r="V5" s="15"/>
      <c r="AZ5" s="13"/>
      <c r="BA5" s="13"/>
      <c r="BB5" s="477"/>
      <c r="BC5" s="477"/>
      <c r="BD5" s="477"/>
      <c r="BE5" s="478"/>
      <c r="BF5" s="477"/>
      <c r="BG5" s="478"/>
      <c r="BH5" s="477"/>
      <c r="BI5" s="477"/>
      <c r="BJ5" s="477"/>
      <c r="BK5" s="477"/>
      <c r="BL5" s="478"/>
      <c r="BM5" s="477"/>
      <c r="BN5" s="477"/>
      <c r="BO5" s="477"/>
      <c r="BP5" s="477"/>
      <c r="BQ5" s="474"/>
      <c r="BR5" s="476"/>
      <c r="BS5" s="474"/>
      <c r="BT5" s="474"/>
      <c r="BU5" s="474"/>
      <c r="BV5" s="474"/>
      <c r="BW5" s="477"/>
      <c r="BX5" s="477"/>
      <c r="BY5" s="476"/>
      <c r="BZ5" s="474"/>
      <c r="CA5" s="474"/>
      <c r="CB5" s="474"/>
      <c r="CC5" s="474"/>
      <c r="CD5" s="474"/>
      <c r="CE5" s="474"/>
      <c r="CF5" s="477"/>
      <c r="CG5" s="474"/>
      <c r="CH5" s="478"/>
      <c r="CI5" s="477"/>
      <c r="CJ5" s="477"/>
      <c r="CK5" s="477"/>
      <c r="CL5" s="477"/>
      <c r="CM5" s="477"/>
      <c r="CN5" s="472"/>
      <c r="CO5" s="472"/>
      <c r="CP5" s="472"/>
      <c r="CQ5" s="472"/>
      <c r="CR5" s="472"/>
      <c r="CS5" s="477"/>
      <c r="CT5" s="477"/>
      <c r="CU5" s="477"/>
      <c r="CV5" s="477"/>
      <c r="CW5" s="477"/>
      <c r="CX5" s="477"/>
      <c r="CY5" s="477"/>
      <c r="CZ5" s="477"/>
      <c r="DA5" s="477"/>
      <c r="DB5" s="477"/>
      <c r="DC5" s="477"/>
      <c r="DD5" s="477"/>
      <c r="DE5" s="472"/>
      <c r="DF5" s="472"/>
      <c r="DG5" s="477"/>
      <c r="DH5" s="472"/>
      <c r="DI5" s="477"/>
      <c r="DJ5" s="477"/>
      <c r="DK5" s="477"/>
      <c r="DL5" s="477"/>
      <c r="DM5" s="477"/>
      <c r="DN5" s="477"/>
      <c r="DO5" s="477"/>
      <c r="DP5" s="477"/>
      <c r="DQ5" s="477"/>
      <c r="DR5" s="477"/>
      <c r="DS5" s="477"/>
      <c r="DT5" s="477"/>
      <c r="DU5" s="477"/>
      <c r="DV5" s="477"/>
      <c r="DW5" s="477"/>
      <c r="DX5" s="477"/>
      <c r="DY5" s="477"/>
      <c r="DZ5" s="477"/>
      <c r="EA5" s="477"/>
      <c r="EB5" s="477"/>
      <c r="EC5" s="477"/>
      <c r="ED5" s="477"/>
      <c r="EE5" s="477"/>
      <c r="EF5" s="477"/>
      <c r="EG5" s="477"/>
      <c r="EH5" s="477"/>
      <c r="EI5" s="477"/>
      <c r="EJ5" s="477"/>
      <c r="EK5" s="477"/>
      <c r="EL5" s="477"/>
      <c r="EM5" s="477"/>
      <c r="EN5" s="477"/>
      <c r="EO5" s="477"/>
      <c r="EP5" s="477"/>
      <c r="EQ5" s="477"/>
      <c r="ER5" s="477"/>
      <c r="ES5" s="477"/>
      <c r="ET5" s="477"/>
      <c r="EU5" s="477"/>
      <c r="EV5" s="477"/>
      <c r="EW5" s="477"/>
      <c r="EX5" s="479"/>
      <c r="EY5" s="13"/>
    </row>
    <row r="6" spans="1:155" s="19" customFormat="1" ht="12.6" x14ac:dyDescent="0.25">
      <c r="A6" s="17"/>
      <c r="B6" s="201"/>
      <c r="C6" s="18" t="s">
        <v>9</v>
      </c>
      <c r="E6" s="643"/>
      <c r="G6" s="643"/>
      <c r="H6" s="642"/>
      <c r="I6" s="642"/>
      <c r="J6" s="20"/>
      <c r="K6" s="643"/>
      <c r="L6" s="642"/>
      <c r="M6" s="642"/>
      <c r="O6" s="643"/>
      <c r="P6" s="642"/>
      <c r="Q6" s="642"/>
      <c r="S6" s="643"/>
      <c r="T6" s="642"/>
      <c r="U6" s="642"/>
      <c r="AZ6" s="17"/>
      <c r="BA6" s="17"/>
      <c r="BB6" s="480" t="s">
        <v>10</v>
      </c>
      <c r="BC6" s="469"/>
      <c r="BD6" s="469"/>
      <c r="BE6" s="470"/>
      <c r="BF6" s="469"/>
      <c r="BG6" s="470"/>
      <c r="BH6" s="469"/>
      <c r="BI6" s="469"/>
      <c r="BJ6" s="469"/>
      <c r="BK6" s="469"/>
      <c r="BL6" s="470"/>
      <c r="BM6" s="469"/>
      <c r="BN6" s="469"/>
      <c r="BO6" s="469"/>
      <c r="BP6" s="468"/>
      <c r="BQ6" s="481"/>
      <c r="BR6" s="482" t="s">
        <v>11</v>
      </c>
      <c r="BS6" s="483"/>
      <c r="BT6" s="483"/>
      <c r="BU6" s="483"/>
      <c r="BV6" s="481"/>
      <c r="BW6" s="468"/>
      <c r="BX6" s="469"/>
      <c r="BY6" s="482" t="s">
        <v>12</v>
      </c>
      <c r="BZ6" s="481"/>
      <c r="CA6" s="481"/>
      <c r="CB6" s="481"/>
      <c r="CC6" s="481"/>
      <c r="CD6" s="481"/>
      <c r="CE6" s="481"/>
      <c r="CF6" s="468"/>
      <c r="CG6" s="481"/>
      <c r="CH6" s="482" t="s">
        <v>13</v>
      </c>
      <c r="CI6" s="469"/>
      <c r="CJ6" s="469"/>
      <c r="CK6" s="469"/>
      <c r="CL6" s="469"/>
      <c r="CM6" s="469"/>
      <c r="CN6" s="469"/>
      <c r="CO6" s="469"/>
      <c r="CP6" s="469"/>
      <c r="CQ6" s="469"/>
      <c r="CR6" s="469"/>
      <c r="CS6" s="469"/>
      <c r="CT6" s="469"/>
      <c r="CU6" s="469"/>
      <c r="CV6" s="469"/>
      <c r="CW6" s="469"/>
      <c r="CX6" s="469"/>
      <c r="CY6" s="469"/>
      <c r="CZ6" s="469"/>
      <c r="DA6" s="469"/>
      <c r="DB6" s="469"/>
      <c r="DC6" s="469"/>
      <c r="DD6" s="469"/>
      <c r="DE6" s="469"/>
      <c r="DF6" s="469"/>
      <c r="DG6" s="469"/>
      <c r="DH6" s="469"/>
      <c r="DI6" s="469"/>
      <c r="DJ6" s="469"/>
      <c r="DK6" s="469"/>
      <c r="DL6" s="469"/>
      <c r="DM6" s="469"/>
      <c r="DN6" s="469"/>
      <c r="DO6" s="469"/>
      <c r="DP6" s="469"/>
      <c r="DQ6" s="469"/>
      <c r="DR6" s="469"/>
      <c r="DS6" s="469"/>
      <c r="DT6" s="469"/>
      <c r="DU6" s="469"/>
      <c r="DV6" s="469"/>
      <c r="DW6" s="469"/>
      <c r="DX6" s="469"/>
      <c r="DY6" s="469"/>
      <c r="DZ6" s="469"/>
      <c r="EA6" s="469"/>
      <c r="EB6" s="469"/>
      <c r="EC6" s="469"/>
      <c r="ED6" s="469"/>
      <c r="EE6" s="469"/>
      <c r="EF6" s="469"/>
      <c r="EG6" s="469"/>
      <c r="EH6" s="469"/>
      <c r="EI6" s="469"/>
      <c r="EJ6" s="469"/>
      <c r="EK6" s="469"/>
      <c r="EL6" s="469"/>
      <c r="EM6" s="469"/>
      <c r="EN6" s="469"/>
      <c r="EO6" s="469"/>
      <c r="EP6" s="469"/>
      <c r="EQ6" s="469"/>
      <c r="ER6" s="469"/>
      <c r="ES6" s="469"/>
      <c r="ET6" s="469"/>
      <c r="EU6" s="469"/>
      <c r="EV6" s="469"/>
      <c r="EW6" s="469"/>
      <c r="EX6" s="468"/>
      <c r="EY6" s="17"/>
    </row>
    <row r="7" spans="1:155" s="19" customFormat="1" ht="12.6" x14ac:dyDescent="0.25">
      <c r="A7" s="17"/>
      <c r="B7" s="214"/>
      <c r="C7" s="21" t="s">
        <v>14</v>
      </c>
      <c r="E7" s="22">
        <f>CapEx!E12</f>
        <v>190</v>
      </c>
      <c r="F7" s="23"/>
      <c r="G7" s="22">
        <f>CapEx!F12</f>
        <v>0</v>
      </c>
      <c r="H7" s="24">
        <f t="shared" ref="H7:H8" si="0">G7-E7</f>
        <v>-190</v>
      </c>
      <c r="I7" s="25" t="str">
        <f t="shared" ref="I7:I8" si="1">IFERROR(  IF(G7/E7-1=-1,    "n/a",    IF(   G7/E7-1  =-2,"repaid",G7/E7-1)),          0)</f>
        <v>n/a</v>
      </c>
      <c r="J7" s="26"/>
      <c r="K7" s="22">
        <f>CapEx!G12</f>
        <v>0</v>
      </c>
      <c r="L7" s="27">
        <f>K7-G7</f>
        <v>0</v>
      </c>
      <c r="M7" s="26">
        <f>IFERROR(IF(K7/G7-1=-1,"n/a",K7/G7-1),0)</f>
        <v>0</v>
      </c>
      <c r="N7" s="23"/>
      <c r="O7" s="22">
        <f>CapEx!H12</f>
        <v>0</v>
      </c>
      <c r="P7" s="27">
        <f>O7-K7</f>
        <v>0</v>
      </c>
      <c r="Q7" s="26">
        <f>IFERROR(IF(O7/K7-1=-1,"n/a",O7/K7-1),0)</f>
        <v>0</v>
      </c>
      <c r="R7" s="23"/>
      <c r="S7" s="22">
        <f>CapEx!I12</f>
        <v>0</v>
      </c>
      <c r="T7" s="27">
        <f>S7-O7</f>
        <v>0</v>
      </c>
      <c r="U7" s="26">
        <f>IFERROR(IF(S7/O7-1=-1,"n/a",S7/O7-1),0)</f>
        <v>0</v>
      </c>
      <c r="V7" s="23"/>
      <c r="AZ7" s="17"/>
      <c r="BA7" s="17"/>
      <c r="BB7" s="468"/>
      <c r="BC7" s="484" t="s">
        <v>15</v>
      </c>
      <c r="BD7" s="484" t="s">
        <v>16</v>
      </c>
      <c r="BE7" s="485" t="s">
        <v>17</v>
      </c>
      <c r="BF7" s="469"/>
      <c r="BG7" s="485" t="s">
        <v>17</v>
      </c>
      <c r="BH7" s="484" t="s">
        <v>18</v>
      </c>
      <c r="BI7" s="484" t="s">
        <v>18</v>
      </c>
      <c r="BJ7" s="484" t="s">
        <v>19</v>
      </c>
      <c r="BK7" s="469"/>
      <c r="BL7" s="485" t="s">
        <v>17</v>
      </c>
      <c r="BM7" s="484" t="s">
        <v>18</v>
      </c>
      <c r="BN7" s="484" t="s">
        <v>18</v>
      </c>
      <c r="BO7" s="469"/>
      <c r="BP7" s="470"/>
      <c r="BQ7" s="469"/>
      <c r="BR7" s="485" t="s">
        <v>16</v>
      </c>
      <c r="BS7" s="484" t="s">
        <v>18</v>
      </c>
      <c r="BT7" s="484" t="s">
        <v>18</v>
      </c>
      <c r="BU7" s="484" t="s">
        <v>19</v>
      </c>
      <c r="BV7" s="469"/>
      <c r="BW7" s="470"/>
      <c r="BX7" s="469"/>
      <c r="BY7" s="475" t="s">
        <v>17</v>
      </c>
      <c r="BZ7" s="484" t="s">
        <v>18</v>
      </c>
      <c r="CA7" s="484" t="s">
        <v>20</v>
      </c>
      <c r="CB7" s="484" t="s">
        <v>18</v>
      </c>
      <c r="CC7" s="484" t="s">
        <v>17</v>
      </c>
      <c r="CD7" s="485" t="s">
        <v>21</v>
      </c>
      <c r="CE7" s="469"/>
      <c r="CF7" s="470"/>
      <c r="CG7" s="469"/>
      <c r="CH7" s="485" t="s">
        <v>16</v>
      </c>
      <c r="CI7" s="484" t="s">
        <v>19</v>
      </c>
      <c r="CJ7" s="484" t="s">
        <v>19</v>
      </c>
      <c r="CK7" s="484" t="s">
        <v>19</v>
      </c>
      <c r="CL7" s="484" t="s">
        <v>19</v>
      </c>
      <c r="CM7" s="484" t="s">
        <v>19</v>
      </c>
      <c r="CN7" s="484"/>
      <c r="CO7" s="484" t="s">
        <v>19</v>
      </c>
      <c r="CP7" s="484" t="s">
        <v>19</v>
      </c>
      <c r="CQ7" s="484" t="s">
        <v>19</v>
      </c>
      <c r="CR7" s="484" t="s">
        <v>19</v>
      </c>
      <c r="CS7" s="484" t="s">
        <v>19</v>
      </c>
      <c r="CT7" s="484" t="s">
        <v>19</v>
      </c>
      <c r="CU7" s="484" t="s">
        <v>19</v>
      </c>
      <c r="CV7" s="484" t="s">
        <v>19</v>
      </c>
      <c r="CW7" s="484" t="s">
        <v>19</v>
      </c>
      <c r="CX7" s="484" t="s">
        <v>19</v>
      </c>
      <c r="CY7" s="484" t="s">
        <v>19</v>
      </c>
      <c r="CZ7" s="484" t="s">
        <v>19</v>
      </c>
      <c r="DA7" s="484" t="s">
        <v>19</v>
      </c>
      <c r="DB7" s="484" t="s">
        <v>19</v>
      </c>
      <c r="DC7" s="484" t="s">
        <v>19</v>
      </c>
      <c r="DD7" s="484" t="s">
        <v>19</v>
      </c>
      <c r="DE7" s="484" t="s">
        <v>19</v>
      </c>
      <c r="DF7" s="484" t="s">
        <v>19</v>
      </c>
      <c r="DG7" s="484" t="s">
        <v>19</v>
      </c>
      <c r="DH7" s="484" t="s">
        <v>19</v>
      </c>
      <c r="DI7" s="484" t="s">
        <v>19</v>
      </c>
      <c r="DJ7" s="484" t="s">
        <v>19</v>
      </c>
      <c r="DK7" s="484" t="s">
        <v>19</v>
      </c>
      <c r="DL7" s="484" t="s">
        <v>19</v>
      </c>
      <c r="DM7" s="484" t="s">
        <v>19</v>
      </c>
      <c r="DN7" s="484" t="s">
        <v>19</v>
      </c>
      <c r="DO7" s="484" t="s">
        <v>19</v>
      </c>
      <c r="DP7" s="484" t="s">
        <v>19</v>
      </c>
      <c r="DQ7" s="484" t="s">
        <v>19</v>
      </c>
      <c r="DR7" s="484" t="s">
        <v>19</v>
      </c>
      <c r="DS7" s="484" t="s">
        <v>19</v>
      </c>
      <c r="DT7" s="484" t="s">
        <v>19</v>
      </c>
      <c r="DU7" s="484" t="s">
        <v>19</v>
      </c>
      <c r="DV7" s="484" t="s">
        <v>19</v>
      </c>
      <c r="DW7" s="484" t="s">
        <v>19</v>
      </c>
      <c r="DX7" s="484" t="s">
        <v>19</v>
      </c>
      <c r="DY7" s="484" t="s">
        <v>19</v>
      </c>
      <c r="DZ7" s="484" t="s">
        <v>19</v>
      </c>
      <c r="EA7" s="484" t="s">
        <v>19</v>
      </c>
      <c r="EB7" s="484" t="s">
        <v>19</v>
      </c>
      <c r="EC7" s="484" t="s">
        <v>19</v>
      </c>
      <c r="ED7" s="484" t="s">
        <v>19</v>
      </c>
      <c r="EE7" s="484" t="s">
        <v>19</v>
      </c>
      <c r="EF7" s="484" t="s">
        <v>19</v>
      </c>
      <c r="EG7" s="484" t="s">
        <v>19</v>
      </c>
      <c r="EH7" s="484" t="s">
        <v>19</v>
      </c>
      <c r="EI7" s="484" t="s">
        <v>19</v>
      </c>
      <c r="EJ7" s="484" t="s">
        <v>19</v>
      </c>
      <c r="EK7" s="484" t="s">
        <v>19</v>
      </c>
      <c r="EL7" s="484" t="s">
        <v>19</v>
      </c>
      <c r="EM7" s="484" t="s">
        <v>19</v>
      </c>
      <c r="EN7" s="484" t="s">
        <v>19</v>
      </c>
      <c r="EO7" s="484" t="s">
        <v>19</v>
      </c>
      <c r="EP7" s="484" t="s">
        <v>19</v>
      </c>
      <c r="EQ7" s="484" t="s">
        <v>19</v>
      </c>
      <c r="ER7" s="484" t="s">
        <v>19</v>
      </c>
      <c r="ES7" s="484" t="s">
        <v>19</v>
      </c>
      <c r="ET7" s="484" t="s">
        <v>19</v>
      </c>
      <c r="EU7" s="484" t="s">
        <v>19</v>
      </c>
      <c r="EV7" s="484" t="s">
        <v>19</v>
      </c>
      <c r="EW7" s="486"/>
      <c r="EX7" s="468"/>
      <c r="EY7" s="17"/>
    </row>
    <row r="8" spans="1:155" s="19" customFormat="1" ht="12.6" x14ac:dyDescent="0.25">
      <c r="A8" s="17"/>
      <c r="B8" s="201"/>
      <c r="C8" s="21" t="s">
        <v>22</v>
      </c>
      <c r="E8" s="22">
        <f>CapEx!E20</f>
        <v>89.999999999999986</v>
      </c>
      <c r="F8" s="23"/>
      <c r="G8" s="22">
        <f>CapEx!F20</f>
        <v>0</v>
      </c>
      <c r="H8" s="24">
        <f t="shared" si="0"/>
        <v>-89.999999999999986</v>
      </c>
      <c r="I8" s="25" t="str">
        <f t="shared" si="1"/>
        <v>n/a</v>
      </c>
      <c r="J8" s="26"/>
      <c r="K8" s="22">
        <f>CapEx!G20</f>
        <v>0</v>
      </c>
      <c r="L8" s="27">
        <f>K8-G8</f>
        <v>0</v>
      </c>
      <c r="M8" s="26">
        <f>IFERROR(IF(K8/G8-1=-1,"n/a",K8/G8-1),0)</f>
        <v>0</v>
      </c>
      <c r="N8" s="23"/>
      <c r="O8" s="22">
        <f>CapEx!H20</f>
        <v>0</v>
      </c>
      <c r="P8" s="27">
        <f>O8-K8</f>
        <v>0</v>
      </c>
      <c r="Q8" s="26">
        <f>IFERROR(IF(O8/K8-1=-1,"n/a",O8/K8-1),0)</f>
        <v>0</v>
      </c>
      <c r="R8" s="23"/>
      <c r="S8" s="22">
        <f>CapEx!I20</f>
        <v>0</v>
      </c>
      <c r="T8" s="27">
        <f>S8-O8</f>
        <v>0</v>
      </c>
      <c r="U8" s="26">
        <f>IFERROR(IF(S8/O8-1=-1,"n/a",S8/O8-1),0)</f>
        <v>0</v>
      </c>
      <c r="V8" s="23"/>
      <c r="AZ8" s="17"/>
      <c r="BA8" s="17"/>
      <c r="BB8" s="469" t="s">
        <v>23</v>
      </c>
      <c r="BC8" s="487" t="s">
        <v>24</v>
      </c>
      <c r="BD8" s="469"/>
      <c r="BE8" s="470"/>
      <c r="BF8" s="469" t="s">
        <v>23</v>
      </c>
      <c r="BG8" s="487" t="s">
        <v>25</v>
      </c>
      <c r="BH8" s="469"/>
      <c r="BI8" s="469"/>
      <c r="BJ8" s="469"/>
      <c r="BK8" s="469" t="s">
        <v>23</v>
      </c>
      <c r="BL8" s="488" t="s">
        <v>26</v>
      </c>
      <c r="BM8" s="469"/>
      <c r="BN8" s="469"/>
      <c r="BO8" s="469" t="s">
        <v>23</v>
      </c>
      <c r="BP8" s="470"/>
      <c r="BQ8" s="489" t="s">
        <v>23</v>
      </c>
      <c r="BR8" s="490"/>
      <c r="BS8" s="489" t="s">
        <v>27</v>
      </c>
      <c r="BT8" s="489" t="s">
        <v>28</v>
      </c>
      <c r="BU8" s="489" t="s">
        <v>29</v>
      </c>
      <c r="BV8" s="489" t="s">
        <v>23</v>
      </c>
      <c r="BW8" s="470"/>
      <c r="BX8" s="489" t="s">
        <v>23</v>
      </c>
      <c r="BY8" s="470"/>
      <c r="BZ8" s="469" t="s">
        <v>12</v>
      </c>
      <c r="CA8" s="491" t="s">
        <v>30</v>
      </c>
      <c r="CB8" s="491" t="s">
        <v>31</v>
      </c>
      <c r="CC8" s="491" t="s">
        <v>32</v>
      </c>
      <c r="CD8" s="469"/>
      <c r="CE8" s="489" t="s">
        <v>23</v>
      </c>
      <c r="CF8" s="470"/>
      <c r="CG8" s="469" t="s">
        <v>23</v>
      </c>
      <c r="CH8" s="470"/>
      <c r="CI8" s="492">
        <v>1</v>
      </c>
      <c r="CJ8" s="492">
        <v>2</v>
      </c>
      <c r="CK8" s="492">
        <v>3</v>
      </c>
      <c r="CL8" s="492">
        <v>4</v>
      </c>
      <c r="CM8" s="492">
        <v>5</v>
      </c>
      <c r="CN8" s="469" t="s">
        <v>23</v>
      </c>
      <c r="CO8" s="493">
        <v>1</v>
      </c>
      <c r="CP8" s="493">
        <v>2</v>
      </c>
      <c r="CQ8" s="493">
        <v>3</v>
      </c>
      <c r="CR8" s="493">
        <v>4</v>
      </c>
      <c r="CS8" s="493">
        <v>5</v>
      </c>
      <c r="CT8" s="493">
        <v>6</v>
      </c>
      <c r="CU8" s="493">
        <v>7</v>
      </c>
      <c r="CV8" s="493">
        <v>8</v>
      </c>
      <c r="CW8" s="493">
        <v>9</v>
      </c>
      <c r="CX8" s="493">
        <v>10</v>
      </c>
      <c r="CY8" s="493">
        <v>11</v>
      </c>
      <c r="CZ8" s="493">
        <v>12</v>
      </c>
      <c r="DA8" s="493">
        <v>13</v>
      </c>
      <c r="DB8" s="493">
        <v>14</v>
      </c>
      <c r="DC8" s="493">
        <v>15</v>
      </c>
      <c r="DD8" s="493">
        <v>16</v>
      </c>
      <c r="DE8" s="493">
        <v>17</v>
      </c>
      <c r="DF8" s="493">
        <v>18</v>
      </c>
      <c r="DG8" s="493">
        <v>19</v>
      </c>
      <c r="DH8" s="493">
        <v>20</v>
      </c>
      <c r="DI8" s="493">
        <v>21</v>
      </c>
      <c r="DJ8" s="493">
        <v>22</v>
      </c>
      <c r="DK8" s="493">
        <v>23</v>
      </c>
      <c r="DL8" s="493">
        <v>24</v>
      </c>
      <c r="DM8" s="493">
        <v>25</v>
      </c>
      <c r="DN8" s="493">
        <v>26</v>
      </c>
      <c r="DO8" s="493">
        <v>27</v>
      </c>
      <c r="DP8" s="493">
        <v>28</v>
      </c>
      <c r="DQ8" s="493">
        <v>29</v>
      </c>
      <c r="DR8" s="493">
        <v>30</v>
      </c>
      <c r="DS8" s="493">
        <v>31</v>
      </c>
      <c r="DT8" s="493">
        <v>32</v>
      </c>
      <c r="DU8" s="493">
        <v>33</v>
      </c>
      <c r="DV8" s="493">
        <v>34</v>
      </c>
      <c r="DW8" s="493">
        <v>35</v>
      </c>
      <c r="DX8" s="493">
        <v>36</v>
      </c>
      <c r="DY8" s="493">
        <v>37</v>
      </c>
      <c r="DZ8" s="493">
        <v>38</v>
      </c>
      <c r="EA8" s="493">
        <v>39</v>
      </c>
      <c r="EB8" s="493">
        <v>40</v>
      </c>
      <c r="EC8" s="493">
        <v>41</v>
      </c>
      <c r="ED8" s="493">
        <v>42</v>
      </c>
      <c r="EE8" s="493">
        <v>43</v>
      </c>
      <c r="EF8" s="493">
        <v>44</v>
      </c>
      <c r="EG8" s="493">
        <v>45</v>
      </c>
      <c r="EH8" s="493">
        <v>46</v>
      </c>
      <c r="EI8" s="493">
        <v>47</v>
      </c>
      <c r="EJ8" s="493">
        <v>48</v>
      </c>
      <c r="EK8" s="493">
        <v>49</v>
      </c>
      <c r="EL8" s="493">
        <v>50</v>
      </c>
      <c r="EM8" s="493">
        <v>51</v>
      </c>
      <c r="EN8" s="493">
        <v>52</v>
      </c>
      <c r="EO8" s="493">
        <v>53</v>
      </c>
      <c r="EP8" s="493">
        <v>54</v>
      </c>
      <c r="EQ8" s="493">
        <v>55</v>
      </c>
      <c r="ER8" s="493">
        <v>56</v>
      </c>
      <c r="ES8" s="493">
        <v>57</v>
      </c>
      <c r="ET8" s="493">
        <v>58</v>
      </c>
      <c r="EU8" s="493">
        <v>59</v>
      </c>
      <c r="EV8" s="493">
        <v>60</v>
      </c>
      <c r="EW8" s="469" t="s">
        <v>23</v>
      </c>
      <c r="EX8" s="468"/>
      <c r="EY8" s="17"/>
    </row>
    <row r="9" spans="1:155" s="19" customFormat="1" ht="12.6" x14ac:dyDescent="0.25">
      <c r="A9" s="17"/>
      <c r="B9" s="201"/>
      <c r="C9" s="18" t="s">
        <v>33</v>
      </c>
      <c r="H9" s="28"/>
      <c r="I9" s="28"/>
      <c r="J9" s="20"/>
      <c r="L9" s="20"/>
      <c r="M9" s="20"/>
      <c r="P9" s="20"/>
      <c r="Q9" s="20"/>
      <c r="T9" s="20"/>
      <c r="U9" s="20"/>
      <c r="V9" s="23"/>
      <c r="AZ9" s="17"/>
      <c r="BA9" s="17"/>
      <c r="BB9" s="469" t="s">
        <v>23</v>
      </c>
      <c r="BC9" s="494"/>
      <c r="BD9" s="494">
        <f ca="1">BH17</f>
        <v>529.37653741355814</v>
      </c>
      <c r="BE9" s="495" t="s">
        <v>34</v>
      </c>
      <c r="BF9" s="469" t="s">
        <v>23</v>
      </c>
      <c r="BG9" s="496" t="s">
        <v>35</v>
      </c>
      <c r="BH9" s="497" t="s">
        <v>36</v>
      </c>
      <c r="BI9" s="497" t="s">
        <v>37</v>
      </c>
      <c r="BJ9" s="497" t="s">
        <v>38</v>
      </c>
      <c r="BK9" s="469" t="s">
        <v>23</v>
      </c>
      <c r="BL9" s="496" t="s">
        <v>35</v>
      </c>
      <c r="BM9" s="497" t="s">
        <v>37</v>
      </c>
      <c r="BN9" s="497" t="s">
        <v>39</v>
      </c>
      <c r="BO9" s="469" t="s">
        <v>23</v>
      </c>
      <c r="BP9" s="470"/>
      <c r="BQ9" s="489" t="s">
        <v>23</v>
      </c>
      <c r="BR9" s="498" t="s">
        <v>34</v>
      </c>
      <c r="BS9" s="499">
        <f>SUM(Units) *((1+SUMPRODUCT(Units, UnitsCAGR)/SUM(Units))^(1/12)-1) /( (1+((1+SUMPRODUCT(Units, UnitsCAGR)/SUM(Units))^(1/12)-1))^12-1)</f>
        <v>51.262336470651512</v>
      </c>
      <c r="BT9" s="500">
        <f>((1+SUMPRODUCT(Units, UnitsCAGR)/SUM(Units))^(1/12)-1)</f>
        <v>4.3267530152855116E-3</v>
      </c>
      <c r="BU9" s="501"/>
      <c r="BV9" s="489" t="s">
        <v>23</v>
      </c>
      <c r="BW9" s="470"/>
      <c r="BX9" s="489" t="s">
        <v>23</v>
      </c>
      <c r="BY9" s="473" t="s">
        <v>40</v>
      </c>
      <c r="BZ9" s="472"/>
      <c r="CA9" s="502">
        <f ca="1">CC9*CB9</f>
        <v>3.6044776119402981E-2</v>
      </c>
      <c r="CB9" s="502">
        <f>RateEquity</f>
        <v>0.105</v>
      </c>
      <c r="CC9" s="503">
        <f ca="1" xml:space="preserve"> Balance!G28/ SUM(Balance!F$22,Balance!F$23,Balance!F$25,Balance!F$27,Balance!F$28)</f>
        <v>0.34328358208955223</v>
      </c>
      <c r="CD9" s="472">
        <v>20</v>
      </c>
      <c r="CE9" s="489" t="s">
        <v>23</v>
      </c>
      <c r="CF9" s="470"/>
      <c r="CG9" s="469" t="s">
        <v>23</v>
      </c>
      <c r="CH9" s="504" t="s">
        <v>41</v>
      </c>
      <c r="CI9" s="505">
        <f>SUM(CO9:CZ9)</f>
        <v>629.99999999999898</v>
      </c>
      <c r="CJ9" s="477">
        <f>SUM(DA9:DL9)</f>
        <v>663.49999999999875</v>
      </c>
      <c r="CK9" s="477">
        <f>SUM(DM9:DX9)</f>
        <v>698.7813492063475</v>
      </c>
      <c r="CL9" s="477">
        <f>SUM(DY9:EJ9)</f>
        <v>735.93877015620865</v>
      </c>
      <c r="CM9" s="477">
        <f>SUM(EK9:EV9)</f>
        <v>775.07202222007049</v>
      </c>
      <c r="CN9" s="469" t="s">
        <v>23</v>
      </c>
      <c r="CO9" s="477">
        <f>unitsBase*(1+unitsCMGR)^(Income!K$4-1)</f>
        <v>51.262336470651512</v>
      </c>
      <c r="CP9" s="477">
        <f>unitsBase*(1+unitsCMGR)^(Income!L$4-1)</f>
        <v>51.484135939546483</v>
      </c>
      <c r="CQ9" s="477">
        <f>unitsBase*(1+unitsCMGR)^(Income!M$4-1)</f>
        <v>51.706895079962287</v>
      </c>
      <c r="CR9" s="477">
        <f>unitsBase*(1+unitsCMGR)^(Income!N$4-1)</f>
        <v>51.930618044160568</v>
      </c>
      <c r="CS9" s="477">
        <f>unitsBase*(1+unitsCMGR)^(Income!O$4-1)</f>
        <v>52.155309002368782</v>
      </c>
      <c r="CT9" s="477">
        <f>unitsBase*(1+unitsCMGR)^(Income!P$4-1)</f>
        <v>52.380972142857928</v>
      </c>
      <c r="CU9" s="477">
        <f>unitsBase*(1+unitsCMGR)^(Income!Q$4-1)</f>
        <v>52.607611672020624</v>
      </c>
      <c r="CV9" s="477">
        <f>unitsBase*(1+unitsCMGR)^(Income!R$4-1)</f>
        <v>52.835231814449507</v>
      </c>
      <c r="CW9" s="477">
        <f>unitsBase*(1+unitsCMGR)^(Income!S$4-1)</f>
        <v>53.063836813015982</v>
      </c>
      <c r="CX9" s="477">
        <f>unitsBase*(1+unitsCMGR)^(Income!T$4-1)</f>
        <v>53.293430928949313</v>
      </c>
      <c r="CY9" s="477">
        <f>unitsBase*(1+unitsCMGR)^(Income!U$4-1)</f>
        <v>53.52401844191607</v>
      </c>
      <c r="CZ9" s="477">
        <f>unitsBase*(1+unitsCMGR)^(Income!V$4-1)</f>
        <v>53.755603650099815</v>
      </c>
      <c r="DA9" s="477">
        <f>unitsBase*(1+unitsCMGR)^(Income!W$4-1)</f>
        <v>53.988190870281386</v>
      </c>
      <c r="DB9" s="477">
        <f>unitsBase*(1+unitsCMGR)^(Income!X$4-1)</f>
        <v>54.221784437919183</v>
      </c>
      <c r="DC9" s="477">
        <f>unitsBase*(1+unitsCMGR)^(Income!Y$4-1)</f>
        <v>54.456388707230118</v>
      </c>
      <c r="DD9" s="477">
        <f>unitsBase*(1+unitsCMGR)^(Income!Z$4-1)</f>
        <v>54.692008051270683</v>
      </c>
      <c r="DE9" s="477">
        <f>unitsBase*(1+unitsCMGR)^(Income!AA$4-1)</f>
        <v>54.928646862018532</v>
      </c>
      <c r="DF9" s="477">
        <f>unitsBase*(1+unitsCMGR)^(Income!AB$4-1)</f>
        <v>55.166309550454322</v>
      </c>
      <c r="DG9" s="477">
        <f>unitsBase*(1+unitsCMGR)^(Income!AC$4-1)</f>
        <v>55.405000546643926</v>
      </c>
      <c r="DH9" s="477">
        <f>unitsBase*(1+unitsCMGR)^(Income!AD$4-1)</f>
        <v>55.644724299821007</v>
      </c>
      <c r="DI9" s="477">
        <f>unitsBase*(1+unitsCMGR)^(Income!AE$4-1)</f>
        <v>55.885485278469993</v>
      </c>
      <c r="DJ9" s="477">
        <f>unitsBase*(1+unitsCMGR)^(Income!AF$4-1)</f>
        <v>56.127287970409313</v>
      </c>
      <c r="DK9" s="477">
        <f>unitsBase*(1+unitsCMGR)^(Income!AG$4-1)</f>
        <v>56.37013688287508</v>
      </c>
      <c r="DL9" s="477">
        <f>unitsBase*(1+unitsCMGR)^(Income!AH$4-1)</f>
        <v>56.614036542605113</v>
      </c>
      <c r="DM9" s="477">
        <f>unitsBase*(1+unitsCMGR)^(Income!AI$4-1)</f>
        <v>56.858991495923313</v>
      </c>
      <c r="DN9" s="477">
        <f>unitsBase*(1+unitsCMGR)^(Income!AJ$4-1)</f>
        <v>57.105006308824386</v>
      </c>
      <c r="DO9" s="477">
        <f>unitsBase*(1+unitsCMGR)^(Income!AK$4-1)</f>
        <v>57.352085567059</v>
      </c>
      <c r="DP9" s="477">
        <f>unitsBase*(1+unitsCMGR)^(Income!AL$4-1)</f>
        <v>57.600233876219178</v>
      </c>
      <c r="DQ9" s="477">
        <f>unitsBase*(1+unitsCMGR)^(Income!AM$4-1)</f>
        <v>57.849455861824275</v>
      </c>
      <c r="DR9" s="477">
        <f>unitsBase*(1+unitsCMGR)^(Income!AN$4-1)</f>
        <v>58.099756169407051</v>
      </c>
      <c r="DS9" s="477">
        <f>unitsBase*(1+unitsCMGR)^(Income!AO$4-1)</f>
        <v>58.351139464600379</v>
      </c>
      <c r="DT9" s="477">
        <f>unitsBase*(1+unitsCMGR)^(Income!AP$4-1)</f>
        <v>58.603610433224191</v>
      </c>
      <c r="DU9" s="477">
        <f>unitsBase*(1+unitsCMGR)^(Income!AQ$4-1)</f>
        <v>58.857173781372744</v>
      </c>
      <c r="DV9" s="477">
        <f>unitsBase*(1+unitsCMGR)^(Income!AR$4-1)</f>
        <v>59.111834235502485</v>
      </c>
      <c r="DW9" s="477">
        <f>unitsBase*(1+unitsCMGR)^(Income!AS$4-1)</f>
        <v>59.367596542520005</v>
      </c>
      <c r="DX9" s="477">
        <f>unitsBase*(1+unitsCMGR)^(Income!AT$4-1)</f>
        <v>59.624465469870607</v>
      </c>
      <c r="DY9" s="477">
        <f>unitsBase*(1+unitsCMGR)^(Income!AU$4-1)</f>
        <v>59.882445805627157</v>
      </c>
      <c r="DZ9" s="477">
        <f>unitsBase*(1+unitsCMGR)^(Income!AV$4-1)</f>
        <v>60.141542358579329</v>
      </c>
      <c r="EA9" s="477">
        <f>unitsBase*(1+unitsCMGR)^(Income!AW$4-1)</f>
        <v>60.401759958323233</v>
      </c>
      <c r="EB9" s="477">
        <f>unitsBase*(1+unitsCMGR)^(Income!AX$4-1)</f>
        <v>60.663103455351454</v>
      </c>
      <c r="EC9" s="477">
        <f>unitsBase*(1+unitsCMGR)^(Income!AY$4-1)</f>
        <v>60.925577721143469</v>
      </c>
      <c r="ED9" s="477">
        <f>unitsBase*(1+unitsCMGR)^(Income!AZ$4-1)</f>
        <v>61.189187648256443</v>
      </c>
      <c r="EE9" s="477">
        <f>unitsBase*(1+unitsCMGR)^(Income!BA$4-1)</f>
        <v>61.45393815041642</v>
      </c>
      <c r="EF9" s="477">
        <f>unitsBase*(1+unitsCMGR)^(Income!BB$4-1)</f>
        <v>61.719834162609878</v>
      </c>
      <c r="EG9" s="477">
        <f>unitsBase*(1+unitsCMGR)^(Income!BC$4-1)</f>
        <v>61.986880641175887</v>
      </c>
      <c r="EH9" s="477">
        <f>unitsBase*(1+unitsCMGR)^(Income!BD$4-1)</f>
        <v>62.255082563898242</v>
      </c>
      <c r="EI9" s="477">
        <f>unitsBase*(1+unitsCMGR)^(Income!BE$4-1)</f>
        <v>62.52444493009844</v>
      </c>
      <c r="EJ9" s="477">
        <f>unitsBase*(1+unitsCMGR)^(Income!BF$4-1)</f>
        <v>62.794972760728797</v>
      </c>
      <c r="EK9" s="477">
        <f>unitsBase*(1+unitsCMGR)^(Income!BG$4-1)</f>
        <v>63.066671098466045</v>
      </c>
      <c r="EL9" s="477">
        <f>unitsBase*(1+unitsCMGR)^(Income!BH$4-1)</f>
        <v>63.339545007805356</v>
      </c>
      <c r="EM9" s="477">
        <f>unitsBase*(1+unitsCMGR)^(Income!BI$4-1)</f>
        <v>63.613599575154687</v>
      </c>
      <c r="EN9" s="477">
        <f>unitsBase*(1+unitsCMGR)^(Income!BJ$4-1)</f>
        <v>63.88883990892964</v>
      </c>
      <c r="EO9" s="477">
        <f>unitsBase*(1+unitsCMGR)^(Income!BK$4-1)</f>
        <v>64.165271139648709</v>
      </c>
      <c r="EP9" s="477">
        <f>unitsBase*(1+unitsCMGR)^(Income!BL$4-1)</f>
        <v>64.442898420028797</v>
      </c>
      <c r="EQ9" s="477">
        <f>unitsBase*(1+unitsCMGR)^(Income!BM$4-1)</f>
        <v>64.721726925081398</v>
      </c>
      <c r="ER9" s="477">
        <f>unitsBase*(1+unitsCMGR)^(Income!BN$4-1)</f>
        <v>65.001761852208972</v>
      </c>
      <c r="ES9" s="477">
        <f>unitsBase*(1+unitsCMGR)^(Income!BO$4-1)</f>
        <v>65.283008421301872</v>
      </c>
      <c r="ET9" s="477">
        <f>unitsBase*(1+unitsCMGR)^(Income!BP$4-1)</f>
        <v>65.565471874835652</v>
      </c>
      <c r="EU9" s="477">
        <f>unitsBase*(1+unitsCMGR)^(Income!BQ$4-1)</f>
        <v>65.849157477968731</v>
      </c>
      <c r="EV9" s="477">
        <f>unitsBase*(1+unitsCMGR)^(Income!BR$4-1)</f>
        <v>66.134070518640527</v>
      </c>
      <c r="EW9" s="469" t="s">
        <v>23</v>
      </c>
      <c r="EX9" s="468"/>
      <c r="EY9" s="17"/>
    </row>
    <row r="10" spans="1:155" s="19" customFormat="1" ht="12.6" x14ac:dyDescent="0.25">
      <c r="A10" s="17"/>
      <c r="B10" s="201"/>
      <c r="C10" s="21" t="s">
        <v>42</v>
      </c>
      <c r="E10" s="22">
        <f ca="1">SUM(Credit!$K41:$V41)</f>
        <v>-36.489591470676203</v>
      </c>
      <c r="F10" s="23"/>
      <c r="G10" s="22">
        <f ca="1">SUM(Credit!$W41:$AH41)</f>
        <v>390.96387107791742</v>
      </c>
      <c r="H10" s="24">
        <f ca="1">G10-E10</f>
        <v>427.45346254859362</v>
      </c>
      <c r="I10" s="25">
        <f ca="1">IFERROR(IF(G10/E10-1=-1,"n/a",G10/E10-1),0)</f>
        <v>-11.714394305896906</v>
      </c>
      <c r="J10" s="26"/>
      <c r="K10" s="22">
        <f ca="1">SUM(Credit!$AI41:$AT41)</f>
        <v>370.23871403017853</v>
      </c>
      <c r="L10" s="27">
        <f ca="1">K10-G10</f>
        <v>-20.72515704773889</v>
      </c>
      <c r="M10" s="26">
        <f ca="1">IFERROR(IF(K10/G10-1=-1,"n/a",K10/G10-1),0)</f>
        <v>-5.3010414979261511E-2</v>
      </c>
      <c r="N10" s="23"/>
      <c r="O10" s="22">
        <f ca="1">SUM(Credit!$AU41:$BF41)</f>
        <v>459.86333656419936</v>
      </c>
      <c r="P10" s="27">
        <f ca="1">O10-K10</f>
        <v>89.62462253402083</v>
      </c>
      <c r="Q10" s="26">
        <f ca="1">IFERROR(IF(O10/K10-1=-1,"n/a",O10/K10-1),0)</f>
        <v>0.24207253087724223</v>
      </c>
      <c r="R10" s="23"/>
      <c r="S10" s="22">
        <f ca="1">SUM(Credit!$BG41:$BR41)</f>
        <v>615.66606512073906</v>
      </c>
      <c r="T10" s="27">
        <f ca="1">S10-O10</f>
        <v>155.80272855653971</v>
      </c>
      <c r="U10" s="26">
        <f ca="1">IFERROR(IF(S10/O10-1=-1,"n/a",S10/O10-1),0)</f>
        <v>0.33880224007548998</v>
      </c>
      <c r="V10" s="23"/>
      <c r="AZ10" s="17"/>
      <c r="BA10" s="17"/>
      <c r="BB10" s="469" t="s">
        <v>23</v>
      </c>
      <c r="BC10" s="491">
        <v>1</v>
      </c>
      <c r="BD10" s="491">
        <v>2019.7985535743471</v>
      </c>
      <c r="BE10" s="506">
        <f ca="1">BD10/BD9</f>
        <v>3.815428925963988</v>
      </c>
      <c r="BF10" s="469" t="s">
        <v>23</v>
      </c>
      <c r="BG10" s="473" t="str">
        <f>BE9</f>
        <v>Units</v>
      </c>
      <c r="BH10" s="472">
        <f>SUM(Units)*(1+SUMPRODUCT(Units,UnitsCAGR)/SUM(Units)) *  (1+BC9)</f>
        <v>663.5</v>
      </c>
      <c r="BI10" s="491">
        <f ca="1">SLOPE(BE10:BE11,BC10:BC11)</f>
        <v>2.9742460780894788</v>
      </c>
      <c r="BJ10" s="491">
        <f t="shared" ref="BJ10:BJ16" ca="1" si="2">RANK(BI10,$BI$10:$BI$16)</f>
        <v>2</v>
      </c>
      <c r="BK10" s="469" t="s">
        <v>23</v>
      </c>
      <c r="BL10" s="473" t="str">
        <f ca="1">INDEX(Summary!$BG$10:$BG$16,MATCH(BN10,Summary!$BJ$10:$BJ$16,0))</f>
        <v>Price</v>
      </c>
      <c r="BM10" s="491">
        <f ca="1">INDEX(Summary!$BI$10:$BI$16,MATCH(BN10,Summary!$BJ$10:$BJ$16,0))</f>
        <v>11.445008012813835</v>
      </c>
      <c r="BN10" s="491">
        <v>1</v>
      </c>
      <c r="BO10" s="469" t="s">
        <v>23</v>
      </c>
      <c r="BP10" s="490"/>
      <c r="BQ10" s="489" t="s">
        <v>23</v>
      </c>
      <c r="BR10" s="498" t="s">
        <v>43</v>
      </c>
      <c r="BS10" s="507">
        <f>(SUMPRODUCT(Price,Units)/SUM(Units)/(1+((1+SUMPRODUCT(PriceCAGR,Price)/SUM(Price))^(1/12)-1))^11)</f>
        <v>8.7096588720322963</v>
      </c>
      <c r="BT10" s="500">
        <f>(1 + SUMPRODUCT(PriceCAGR, Price)/SUM(Price))^(1/12) - 1</f>
        <v>2.6956539785609746E-3</v>
      </c>
      <c r="BU10" s="501"/>
      <c r="BV10" s="489" t="s">
        <v>23</v>
      </c>
      <c r="BW10" s="490"/>
      <c r="BX10" s="489" t="s">
        <v>23</v>
      </c>
      <c r="BY10" s="473" t="s">
        <v>44</v>
      </c>
      <c r="BZ10" s="472"/>
      <c r="CA10" s="502">
        <f ca="1">CC10*CB10</f>
        <v>9.4029850746268646E-3</v>
      </c>
      <c r="CB10" s="502">
        <f>RateEquity</f>
        <v>0.105</v>
      </c>
      <c r="CC10" s="503">
        <f ca="1" xml:space="preserve"> Balance!F27/ SUM(Balance!F$22,Balance!F$23,Balance!F$25,Balance!F$27,Balance!F$28)</f>
        <v>8.9552238805970144E-2</v>
      </c>
      <c r="CD10" s="472">
        <v>20</v>
      </c>
      <c r="CE10" s="489" t="s">
        <v>23</v>
      </c>
      <c r="CF10" s="490"/>
      <c r="CG10" s="469" t="s">
        <v>23</v>
      </c>
      <c r="CH10" s="470" t="s">
        <v>45</v>
      </c>
      <c r="CI10" s="508">
        <f ca="1">CZ10</f>
        <v>8.9714285714285964</v>
      </c>
      <c r="CJ10" s="508">
        <f ca="1">DL10</f>
        <v>9.2659765020027258</v>
      </c>
      <c r="CK10" s="508">
        <f ca="1">DX10</f>
        <v>9.5701949641666406</v>
      </c>
      <c r="CL10" s="508">
        <f ca="1">EJ10</f>
        <v>9.8844014586444082</v>
      </c>
      <c r="CM10" s="508">
        <f ca="1">EV10</f>
        <v>10.208923910272645</v>
      </c>
      <c r="CN10" s="469" t="s">
        <v>23</v>
      </c>
      <c r="CO10" s="508">
        <f ca="1">IF(Income!K$4=1,priceBase,OFFSET(CO10, 0, -1) * (1 + (1 + SUMPRODUCT(PriceCAGR, Price)/SUM(Price))^(1/12) - 1) )</f>
        <v>8.7096588720322963</v>
      </c>
      <c r="CP10" s="508">
        <f ca="1">IF(Income!L$4=1,priceBase,OFFSET(CP10, 0, -1) * (1 + (1 + SUMPRODUCT(PriceCAGR, Price)/SUM(Price))^(1/12) - 1) )</f>
        <v>8.7331370986226009</v>
      </c>
      <c r="CQ10" s="508">
        <f ca="1">IF(Income!M$4=1,priceBase,OFFSET(CQ10, 0, -1) * (1 + (1 + SUMPRODUCT(PriceCAGR, Price)/SUM(Price))^(1/12) - 1) )</f>
        <v>8.7566786143878232</v>
      </c>
      <c r="CR10" s="508">
        <f ca="1">IF(Income!N$4=1,priceBase,OFFSET(CR10, 0, -1) * (1 + (1 + SUMPRODUCT(PriceCAGR, Price)/SUM(Price))^(1/12) - 1) )</f>
        <v>8.7802835899336795</v>
      </c>
      <c r="CS10" s="508">
        <f ca="1">IF(Income!O$4=1,priceBase,OFFSET(CS10, 0, -1) * (1 + (1 + SUMPRODUCT(PriceCAGR, Price)/SUM(Price))^(1/12) - 1) )</f>
        <v>8.8039521963257794</v>
      </c>
      <c r="CT10" s="508">
        <f ca="1">IF(Income!P$4=1,priceBase,OFFSET(CT10, 0, -1) * (1 + (1 + SUMPRODUCT(PriceCAGR, Price)/SUM(Price))^(1/12) - 1) )</f>
        <v>8.8276846050908677</v>
      </c>
      <c r="CU10" s="508">
        <f ca="1">IF(Income!Q$4=1,priceBase,OFFSET(CU10, 0, -1) * (1 + (1 + SUMPRODUCT(PriceCAGR, Price)/SUM(Price))^(1/12) - 1) )</f>
        <v>8.8514809882180643</v>
      </c>
      <c r="CV10" s="508">
        <f ca="1">IF(Income!R$4=1,priceBase,OFFSET(CV10, 0, -1) * (1 + (1 + SUMPRODUCT(PriceCAGR, Price)/SUM(Price))^(1/12) - 1) )</f>
        <v>8.8753415181601127</v>
      </c>
      <c r="CW10" s="508">
        <f ca="1">IF(Income!S$4=1,priceBase,OFFSET(CW10, 0, -1) * (1 + (1 + SUMPRODUCT(PriceCAGR, Price)/SUM(Price))^(1/12) - 1) )</f>
        <v>8.8992663678346311</v>
      </c>
      <c r="CX10" s="508">
        <f ca="1">IF(Income!T$4=1,priceBase,OFFSET(CX10, 0, -1) * (1 + (1 + SUMPRODUCT(PriceCAGR, Price)/SUM(Price))^(1/12) - 1) )</f>
        <v>8.9232557106253605</v>
      </c>
      <c r="CY10" s="508">
        <f ca="1">IF(Income!U$4=1,priceBase,OFFSET(CY10, 0, -1) * (1 + (1 + SUMPRODUCT(PriceCAGR, Price)/SUM(Price))^(1/12) - 1) )</f>
        <v>8.9473097203834264</v>
      </c>
      <c r="CZ10" s="508">
        <f ca="1">IF(Income!V$4=1,priceBase,OFFSET(CZ10, 0, -1) * (1 + (1 + SUMPRODUCT(PriceCAGR, Price)/SUM(Price))^(1/12) - 1) )</f>
        <v>8.9714285714285964</v>
      </c>
      <c r="DA10" s="508">
        <f ca="1">IF(Income!W$4=1,priceBase,OFFSET(DA10, 0, -1) * (1 + (1 + SUMPRODUCT(PriceCAGR, Price)/SUM(Price))^(1/12) - 1) )</f>
        <v>8.9956124385505447</v>
      </c>
      <c r="DB10" s="508">
        <f ca="1">IF(Income!X$4=1,priceBase,OFFSET(DB10, 0, -1) * (1 + (1 + SUMPRODUCT(PriceCAGR, Price)/SUM(Price))^(1/12) - 1) )</f>
        <v>9.0198614970101172</v>
      </c>
      <c r="DC10" s="508">
        <f ca="1">IF(Income!Y$4=1,priceBase,OFFSET(DC10, 0, -1) * (1 + (1 + SUMPRODUCT(PriceCAGR, Price)/SUM(Price))^(1/12) - 1) )</f>
        <v>9.0441759225406031</v>
      </c>
      <c r="DD10" s="508">
        <f ca="1">IF(Income!Z$4=1,priceBase,OFFSET(DD10, 0, -1) * (1 + (1 + SUMPRODUCT(PriceCAGR, Price)/SUM(Price))^(1/12) - 1) )</f>
        <v>9.068555891349007</v>
      </c>
      <c r="DE10" s="508">
        <f ca="1">IF(Income!AA$4=1,priceBase,OFFSET(DE10, 0, -1) * (1 + (1 + SUMPRODUCT(PriceCAGR, Price)/SUM(Price))^(1/12) - 1) )</f>
        <v>9.0930015801173258</v>
      </c>
      <c r="DF10" s="508">
        <f ca="1">IF(Income!AB$4=1,priceBase,OFFSET(DF10, 0, -1) * (1 + (1 + SUMPRODUCT(PriceCAGR, Price)/SUM(Price))^(1/12) - 1) )</f>
        <v>9.1175131660038318</v>
      </c>
      <c r="DG10" s="508">
        <f ca="1">IF(Income!AC$4=1,priceBase,OFFSET(DG10, 0, -1) * (1 + (1 + SUMPRODUCT(PriceCAGR, Price)/SUM(Price))^(1/12) - 1) )</f>
        <v>9.1420908266443544</v>
      </c>
      <c r="DH10" s="508">
        <f ca="1">IF(Income!AD$4=1,priceBase,OFFSET(DH10, 0, -1) * (1 + (1 + SUMPRODUCT(PriceCAGR, Price)/SUM(Price))^(1/12) - 1) )</f>
        <v>9.1667347401535668</v>
      </c>
      <c r="DI10" s="508">
        <f ca="1">IF(Income!AE$4=1,priceBase,OFFSET(DI10, 0, -1) * (1 + (1 + SUMPRODUCT(PriceCAGR, Price)/SUM(Price))^(1/12) - 1) )</f>
        <v>9.1914450851262774</v>
      </c>
      <c r="DJ10" s="508">
        <f ca="1">IF(Income!AF$4=1,priceBase,OFFSET(DJ10, 0, -1) * (1 + (1 + SUMPRODUCT(PriceCAGR, Price)/SUM(Price))^(1/12) - 1) )</f>
        <v>9.2162220406387245</v>
      </c>
      <c r="DK10" s="508">
        <f ca="1">IF(Income!AG$4=1,priceBase,OFFSET(DK10, 0, -1) * (1 + (1 + SUMPRODUCT(PriceCAGR, Price)/SUM(Price))^(1/12) - 1) )</f>
        <v>9.2410657862498748</v>
      </c>
      <c r="DL10" s="508">
        <f ca="1">IF(Income!AH$4=1,priceBase,OFFSET(DL10, 0, -1) * (1 + (1 + SUMPRODUCT(PriceCAGR, Price)/SUM(Price))^(1/12) - 1) )</f>
        <v>9.2659765020027258</v>
      </c>
      <c r="DM10" s="508">
        <f ca="1">IF(Income!AI$4=1,priceBase,OFFSET(DM10, 0, -1) * (1 + (1 + SUMPRODUCT(PriceCAGR, Price)/SUM(Price))^(1/12) - 1) )</f>
        <v>9.290954368425604</v>
      </c>
      <c r="DN10" s="508">
        <f ca="1">IF(Income!AJ$4=1,priceBase,OFFSET(DN10, 0, -1) * (1 + (1 + SUMPRODUCT(PriceCAGR, Price)/SUM(Price))^(1/12) - 1) )</f>
        <v>9.3159995665334812</v>
      </c>
      <c r="DO10" s="508">
        <f ca="1">IF(Income!AK$4=1,priceBase,OFFSET(DO10, 0, -1) * (1 + (1 + SUMPRODUCT(PriceCAGR, Price)/SUM(Price))^(1/12) - 1) )</f>
        <v>9.3411122778292821</v>
      </c>
      <c r="DP10" s="508">
        <f ca="1">IF(Income!AL$4=1,priceBase,OFFSET(DP10, 0, -1) * (1 + (1 + SUMPRODUCT(PriceCAGR, Price)/SUM(Price))^(1/12) - 1) )</f>
        <v>9.3662926843051988</v>
      </c>
      <c r="DQ10" s="508">
        <f ca="1">IF(Income!AM$4=1,priceBase,OFFSET(DQ10, 0, -1) * (1 + (1 + SUMPRODUCT(PriceCAGR, Price)/SUM(Price))^(1/12) - 1) )</f>
        <v>9.3915409684440139</v>
      </c>
      <c r="DR10" s="508">
        <f ca="1">IF(Income!AN$4=1,priceBase,OFFSET(DR10, 0, -1) * (1 + (1 + SUMPRODUCT(PriceCAGR, Price)/SUM(Price))^(1/12) - 1) )</f>
        <v>9.4168573132204205</v>
      </c>
      <c r="DS10" s="508">
        <f ca="1">IF(Income!AO$4=1,priceBase,OFFSET(DS10, 0, -1) * (1 + (1 + SUMPRODUCT(PriceCAGR, Price)/SUM(Price))^(1/12) - 1) )</f>
        <v>9.4422419021023458</v>
      </c>
      <c r="DT10" s="508">
        <f ca="1">IF(Income!AP$4=1,priceBase,OFFSET(DT10, 0, -1) * (1 + (1 + SUMPRODUCT(PriceCAGR, Price)/SUM(Price))^(1/12) - 1) )</f>
        <v>9.4676949190522848</v>
      </c>
      <c r="DU10" s="508">
        <f ca="1">IF(Income!AQ$4=1,priceBase,OFFSET(DU10, 0, -1) * (1 + (1 + SUMPRODUCT(PriceCAGR, Price)/SUM(Price))^(1/12) - 1) )</f>
        <v>9.4932165485286308</v>
      </c>
      <c r="DV10" s="508">
        <f ca="1">IF(Income!AR$4=1,priceBase,OFFSET(DV10, 0, -1) * (1 + (1 + SUMPRODUCT(PriceCAGR, Price)/SUM(Price))^(1/12) - 1) )</f>
        <v>9.5188069754870153</v>
      </c>
      <c r="DW10" s="508">
        <f ca="1">IF(Income!AS$4=1,priceBase,OFFSET(DW10, 0, -1) * (1 + (1 + SUMPRODUCT(PriceCAGR, Price)/SUM(Price))^(1/12) - 1) )</f>
        <v>9.5444663853816429</v>
      </c>
      <c r="DX10" s="508">
        <f ca="1">IF(Income!AT$4=1,priceBase,OFFSET(DX10, 0, -1) * (1 + (1 + SUMPRODUCT(PriceCAGR, Price)/SUM(Price))^(1/12) - 1) )</f>
        <v>9.5701949641666406</v>
      </c>
      <c r="DY10" s="508">
        <f ca="1">IF(Income!AU$4=1,priceBase,OFFSET(DY10, 0, -1) * (1 + (1 + SUMPRODUCT(PriceCAGR, Price)/SUM(Price))^(1/12) - 1) )</f>
        <v>9.5959928982974034</v>
      </c>
      <c r="DZ10" s="508">
        <f ca="1">IF(Income!AV$4=1,priceBase,OFFSET(DZ10, 0, -1) * (1 + (1 + SUMPRODUCT(PriceCAGR, Price)/SUM(Price))^(1/12) - 1) )</f>
        <v>9.6218603747319431</v>
      </c>
      <c r="EA10" s="508">
        <f ca="1">IF(Income!AW$4=1,priceBase,OFFSET(EA10, 0, -1) * (1 + (1 + SUMPRODUCT(PriceCAGR, Price)/SUM(Price))^(1/12) - 1) )</f>
        <v>9.6477975809322505</v>
      </c>
      <c r="EB10" s="508">
        <f ca="1">IF(Income!AX$4=1,priceBase,OFFSET(EB10, 0, -1) * (1 + (1 + SUMPRODUCT(PriceCAGR, Price)/SUM(Price))^(1/12) - 1) )</f>
        <v>9.6738047048656437</v>
      </c>
      <c r="EC10" s="508">
        <f ca="1">IF(Income!AY$4=1,priceBase,OFFSET(EC10, 0, -1) * (1 + (1 + SUMPRODUCT(PriceCAGR, Price)/SUM(Price))^(1/12) - 1) )</f>
        <v>9.6998819350061396</v>
      </c>
      <c r="ED10" s="508">
        <f ca="1">IF(Income!AZ$4=1,priceBase,OFFSET(ED10, 0, -1) * (1 + (1 + SUMPRODUCT(PriceCAGR, Price)/SUM(Price))^(1/12) - 1) )</f>
        <v>9.7260294603358126</v>
      </c>
      <c r="EE10" s="508">
        <f ca="1">IF(Income!BA$4=1,priceBase,OFFSET(EE10, 0, -1) * (1 + (1 + SUMPRODUCT(PriceCAGR, Price)/SUM(Price))^(1/12) - 1) )</f>
        <v>9.7522474703461697</v>
      </c>
      <c r="EF10" s="508">
        <f ca="1">IF(Income!BB$4=1,priceBase,OFFSET(EF10, 0, -1) * (1 + (1 + SUMPRODUCT(PriceCAGR, Price)/SUM(Price))^(1/12) - 1) )</f>
        <v>9.7785361550395216</v>
      </c>
      <c r="EG10" s="508">
        <f ca="1">IF(Income!BC$4=1,priceBase,OFFSET(EG10, 0, -1) * (1 + (1 + SUMPRODUCT(PriceCAGR, Price)/SUM(Price))^(1/12) - 1) )</f>
        <v>9.8048957049303578</v>
      </c>
      <c r="EH10" s="508">
        <f ca="1">IF(Income!BD$4=1,priceBase,OFFSET(EH10, 0, -1) * (1 + (1 + SUMPRODUCT(PriceCAGR, Price)/SUM(Price))^(1/12) - 1) )</f>
        <v>9.8313263110467304</v>
      </c>
      <c r="EI10" s="508">
        <f ca="1">IF(Income!BE$4=1,priceBase,OFFSET(EI10, 0, -1) * (1 + (1 + SUMPRODUCT(PriceCAGR, Price)/SUM(Price))^(1/12) - 1) )</f>
        <v>9.8578281649316377</v>
      </c>
      <c r="EJ10" s="508">
        <f ca="1">IF(Income!BF$4=1,priceBase,OFFSET(EJ10, 0, -1) * (1 + (1 + SUMPRODUCT(PriceCAGR, Price)/SUM(Price))^(1/12) - 1) )</f>
        <v>9.8844014586444082</v>
      </c>
      <c r="EK10" s="508">
        <f ca="1">IF(Income!BG$4=1,priceBase,OFFSET(EK10, 0, -1) * (1 + (1 + SUMPRODUCT(PriceCAGR, Price)/SUM(Price))^(1/12) - 1) )</f>
        <v>9.9110463847620984</v>
      </c>
      <c r="EL10" s="508">
        <f ca="1">IF(Income!BH$4=1,priceBase,OFFSET(EL10, 0, -1) * (1 + (1 + SUMPRODUCT(PriceCAGR, Price)/SUM(Price))^(1/12) - 1) )</f>
        <v>9.9377631363808874</v>
      </c>
      <c r="EM10" s="508">
        <f ca="1">IF(Income!BI$4=1,priceBase,OFFSET(EM10, 0, -1) * (1 + (1 + SUMPRODUCT(PriceCAGR, Price)/SUM(Price))^(1/12) - 1) )</f>
        <v>9.9645519071174711</v>
      </c>
      <c r="EN10" s="508">
        <f ca="1">IF(Income!BJ$4=1,priceBase,OFFSET(EN10, 0, -1) * (1 + (1 + SUMPRODUCT(PriceCAGR, Price)/SUM(Price))^(1/12) - 1) )</f>
        <v>9.9914128911104712</v>
      </c>
      <c r="EO10" s="508">
        <f ca="1">IF(Income!BK$4=1,priceBase,OFFSET(EO10, 0, -1) * (1 + (1 + SUMPRODUCT(PriceCAGR, Price)/SUM(Price))^(1/12) - 1) )</f>
        <v>10.01834628302184</v>
      </c>
      <c r="EP10" s="508">
        <f ca="1">IF(Income!BL$4=1,priceBase,OFFSET(EP10, 0, -1) * (1 + (1 + SUMPRODUCT(PriceCAGR, Price)/SUM(Price))^(1/12) - 1) )</f>
        <v>10.045352278038271</v>
      </c>
      <c r="EQ10" s="508">
        <f ca="1">IF(Income!BM$4=1,priceBase,OFFSET(EQ10, 0, -1) * (1 + (1 + SUMPRODUCT(PriceCAGR, Price)/SUM(Price))^(1/12) - 1) )</f>
        <v>10.072431071872614</v>
      </c>
      <c r="ER10" s="508">
        <f ca="1">IF(Income!BN$4=1,priceBase,OFFSET(ER10, 0, -1) * (1 + (1 + SUMPRODUCT(PriceCAGR, Price)/SUM(Price))^(1/12) - 1) )</f>
        <v>10.099582860765292</v>
      </c>
      <c r="ES10" s="508">
        <f ca="1">IF(Income!BO$4=1,priceBase,OFFSET(ES10, 0, -1) * (1 + (1 + SUMPRODUCT(PriceCAGR, Price)/SUM(Price))^(1/12) - 1) )</f>
        <v>10.126807841485721</v>
      </c>
      <c r="ET10" s="508">
        <f ca="1">IF(Income!BP$4=1,priceBase,OFFSET(ET10, 0, -1) * (1 + (1 + SUMPRODUCT(PriceCAGR, Price)/SUM(Price))^(1/12) - 1) )</f>
        <v>10.154106211333747</v>
      </c>
      <c r="EU10" s="508">
        <f ca="1">IF(Income!BQ$4=1,priceBase,OFFSET(EU10, 0, -1) * (1 + (1 + SUMPRODUCT(PriceCAGR, Price)/SUM(Price))^(1/12) - 1) )</f>
        <v>10.181478168141062</v>
      </c>
      <c r="EV10" s="508">
        <f ca="1">IF(Income!BR$4=1,priceBase,OFFSET(EV10, 0, -1) * (1 + (1 + SUMPRODUCT(PriceCAGR, Price)/SUM(Price))^(1/12) - 1) )</f>
        <v>10.208923910272645</v>
      </c>
      <c r="EW10" s="469" t="s">
        <v>23</v>
      </c>
      <c r="EX10" s="468"/>
      <c r="EY10" s="17"/>
    </row>
    <row r="11" spans="1:155" s="19" customFormat="1" ht="12.6" x14ac:dyDescent="0.25">
      <c r="A11" s="17"/>
      <c r="B11" s="201"/>
      <c r="C11" s="21" t="s">
        <v>46</v>
      </c>
      <c r="E11" s="22">
        <f ca="1">SUM(Credit!$K43:$V43)</f>
        <v>161.4895914706762</v>
      </c>
      <c r="F11" s="23"/>
      <c r="G11" s="22">
        <f ca="1">SUM(Credit!$W43:$AH43)</f>
        <v>-161.4895914706762</v>
      </c>
      <c r="H11" s="24">
        <f ca="1">G11-E11</f>
        <v>-322.97918294135241</v>
      </c>
      <c r="I11" s="25" t="str">
        <f ca="1">IFERROR(  IF(G11/E11-1=-1,    "n/a",    IF(   G11/E11-1  =-2,"repaid",G11/E11-1)),          0)</f>
        <v>repaid</v>
      </c>
      <c r="J11" s="26"/>
      <c r="K11" s="22">
        <f ca="1">SUM(Credit!$AI43:$AT43)</f>
        <v>0</v>
      </c>
      <c r="L11" s="27">
        <f ca="1">K11-G11</f>
        <v>161.4895914706762</v>
      </c>
      <c r="M11" s="26" t="str">
        <f ca="1">IFERROR(  IF(K11/G11-1=-1,    "n/a",    IF(   K11/G11-1  =-2,"repaid",K11/G11-1)),          0)</f>
        <v>n/a</v>
      </c>
      <c r="N11" s="23"/>
      <c r="O11" s="22">
        <f ca="1">SUM(Credit!$AU43:$BF43)</f>
        <v>0</v>
      </c>
      <c r="P11" s="27">
        <f ca="1">O11-K11</f>
        <v>0</v>
      </c>
      <c r="Q11" s="26">
        <f ca="1">IFERROR(  IF(O11/K11-1=-1,    "n/a",    IF(   O11/K11-1  =-2,"repaid",O11/K11-1)),          0)</f>
        <v>0</v>
      </c>
      <c r="R11" s="23"/>
      <c r="S11" s="22">
        <f ca="1">SUM(Credit!$BG43:$BR43)</f>
        <v>0</v>
      </c>
      <c r="T11" s="27">
        <f ca="1">S11-O11</f>
        <v>0</v>
      </c>
      <c r="U11" s="26">
        <f ca="1">IFERROR(  IF(S11/O11-1=-1,    "n/a",    IF(   S11/O11-1  =-2,"repaid",S11/O11-1)),          0)</f>
        <v>0</v>
      </c>
      <c r="V11" s="23"/>
      <c r="AZ11" s="17"/>
      <c r="BA11" s="17"/>
      <c r="BB11" s="469" t="s">
        <v>23</v>
      </c>
      <c r="BC11" s="491">
        <v>2</v>
      </c>
      <c r="BD11" s="491">
        <v>3594.2946438092104</v>
      </c>
      <c r="BE11" s="506">
        <f ca="1">BD11/BD9</f>
        <v>6.7896750040534668</v>
      </c>
      <c r="BF11" s="469" t="s">
        <v>23</v>
      </c>
      <c r="BG11" s="473" t="str">
        <f>BE12</f>
        <v>Price</v>
      </c>
      <c r="BH11" s="509">
        <f ca="1">Income!$F$7/ (SUM(Units)*(1+SUMPRODUCT(Units,UnitsCAGR)/SUM(Units))  )    *(1+BC12)</f>
        <v>9.1314524679635518</v>
      </c>
      <c r="BI11" s="491">
        <f ca="1">SLOPE(BE13:BE14,BC13:BC14)</f>
        <v>11.445008012813835</v>
      </c>
      <c r="BJ11" s="491">
        <f t="shared" ca="1" si="2"/>
        <v>1</v>
      </c>
      <c r="BK11" s="489" t="s">
        <v>23</v>
      </c>
      <c r="BL11" s="473" t="str">
        <f ca="1">INDEX(Summary!$BG$10:$BG$16,MATCH(BN11,Summary!$BJ$10:$BJ$16,0))</f>
        <v>Units</v>
      </c>
      <c r="BM11" s="491">
        <f ca="1">INDEX(Summary!$BI$10:$BI$16,MATCH(BN11,Summary!$BJ$10:$BJ$16,0))</f>
        <v>2.9742460780894788</v>
      </c>
      <c r="BN11" s="491">
        <v>2</v>
      </c>
      <c r="BO11" s="489" t="s">
        <v>23</v>
      </c>
      <c r="BP11" s="490"/>
      <c r="BQ11" s="489" t="s">
        <v>23</v>
      </c>
      <c r="BR11" s="498" t="s">
        <v>47</v>
      </c>
      <c r="BS11" s="507">
        <f>(SUMPRODUCT(COGS,Units)/SUM(Units)/(1+((1+SUMPRODUCT(CogsCAGR,COGS)/SUM(COGS))^(1/12)-1))^11)</f>
        <v>6.5040576919309823</v>
      </c>
      <c r="BT11" s="500">
        <f>(1 + SUMPRODUCT(CogsCAGR, COGS)/SUM(COGS))^(1/12) - 1</f>
        <v>2.186646638637324E-3</v>
      </c>
      <c r="BU11" s="501"/>
      <c r="BV11" s="489" t="s">
        <v>23</v>
      </c>
      <c r="BW11" s="490"/>
      <c r="BX11" s="489" t="s">
        <v>23</v>
      </c>
      <c r="BY11" s="473" t="s">
        <v>48</v>
      </c>
      <c r="BZ11" s="472"/>
      <c r="CA11" s="502">
        <f ca="1">CC11*CB11</f>
        <v>1.7761194029850748E-2</v>
      </c>
      <c r="CB11" s="502">
        <f>RateLong</f>
        <v>8.5000000000000006E-2</v>
      </c>
      <c r="CC11" s="503">
        <f ca="1" xml:space="preserve"> Balance!F25/ SUM(Balance!F$22,Balance!F$23,Balance!F$25,Balance!F$27,Balance!F$28)</f>
        <v>0.20895522388059701</v>
      </c>
      <c r="CD11" s="472">
        <v>20</v>
      </c>
      <c r="CE11" s="489" t="s">
        <v>23</v>
      </c>
      <c r="CF11" s="490"/>
      <c r="CG11" s="469" t="s">
        <v>23</v>
      </c>
      <c r="CH11" s="470" t="s">
        <v>47</v>
      </c>
      <c r="CI11" s="508">
        <f ca="1">CZ11</f>
        <v>6.6622222222222227</v>
      </c>
      <c r="CJ11" s="508">
        <f ca="1">DL11</f>
        <v>6.8391551558099444</v>
      </c>
      <c r="CK11" s="508">
        <f ca="1">DX11</f>
        <v>7.0207870114605679</v>
      </c>
      <c r="CL11" s="508">
        <f ca="1">EJ11</f>
        <v>7.2072425814787575</v>
      </c>
      <c r="CM11" s="508">
        <f ca="1">EV11</f>
        <v>7.3986499723589185</v>
      </c>
      <c r="CN11" s="469" t="s">
        <v>23</v>
      </c>
      <c r="CO11" s="508">
        <f ca="1">IF(Income!K$4=1,cogsBase,OFFSET(CO11, 0, -1) * (1 + (1 + SUMPRODUCT(CogsCAGR, COGS)/SUM(COGS))^(1/12) - 1) )</f>
        <v>6.5040576919309823</v>
      </c>
      <c r="CP11" s="508">
        <f ca="1">IF(Income!L$4=1,cogsBase,OFFSET(CP11, 0, -1) * (1 + (1 + SUMPRODUCT(CogsCAGR, COGS)/SUM(COGS))^(1/12) - 1) )</f>
        <v>6.5182797678205464</v>
      </c>
      <c r="CQ11" s="508">
        <f ca="1">IF(Income!M$4=1,cogsBase,OFFSET(CQ11, 0, -1) * (1 + (1 + SUMPRODUCT(CogsCAGR, COGS)/SUM(COGS))^(1/12) - 1) )</f>
        <v>6.5325329423645488</v>
      </c>
      <c r="CR11" s="508">
        <f ca="1">IF(Income!N$4=1,cogsBase,OFFSET(CR11, 0, -1) * (1 + (1 + SUMPRODUCT(CogsCAGR, COGS)/SUM(COGS))^(1/12) - 1) )</f>
        <v>6.5468172835647582</v>
      </c>
      <c r="CS11" s="508">
        <f ca="1">IF(Income!O$4=1,cogsBase,OFFSET(CS11, 0, -1) * (1 + (1 + SUMPRODUCT(CogsCAGR, COGS)/SUM(COGS))^(1/12) - 1) )</f>
        <v>6.5611328595716376</v>
      </c>
      <c r="CT11" s="508">
        <f ca="1">IF(Income!P$4=1,cogsBase,OFFSET(CT11, 0, -1) * (1 + (1 + SUMPRODUCT(CogsCAGR, COGS)/SUM(COGS))^(1/12) - 1) )</f>
        <v>6.5754797386846731</v>
      </c>
      <c r="CU11" s="508">
        <f ca="1">IF(Income!Q$4=1,cogsBase,OFFSET(CU11, 0, -1) * (1 + (1 + SUMPRODUCT(CogsCAGR, COGS)/SUM(COGS))^(1/12) - 1) )</f>
        <v>6.5898579893526961</v>
      </c>
      <c r="CV11" s="508">
        <f ca="1">IF(Income!R$4=1,cogsBase,OFFSET(CV11, 0, -1) * (1 + (1 + SUMPRODUCT(CogsCAGR, COGS)/SUM(COGS))^(1/12) - 1) )</f>
        <v>6.6042676801742113</v>
      </c>
      <c r="CW11" s="508">
        <f ca="1">IF(Income!S$4=1,cogsBase,OFFSET(CW11, 0, -1) * (1 + (1 + SUMPRODUCT(CogsCAGR, COGS)/SUM(COGS))^(1/12) - 1) )</f>
        <v>6.6187088798977252</v>
      </c>
      <c r="CX11" s="508">
        <f ca="1">IF(Income!T$4=1,cogsBase,OFFSET(CX11, 0, -1) * (1 + (1 + SUMPRODUCT(CogsCAGR, COGS)/SUM(COGS))^(1/12) - 1) )</f>
        <v>6.6331816574220728</v>
      </c>
      <c r="CY11" s="508">
        <f ca="1">IF(Income!U$4=1,cogsBase,OFFSET(CY11, 0, -1) * (1 + (1 + SUMPRODUCT(CogsCAGR, COGS)/SUM(COGS))^(1/12) - 1) )</f>
        <v>6.6476860817967456</v>
      </c>
      <c r="CZ11" s="508">
        <f ca="1">IF(Income!V$4=1,cogsBase,OFFSET(CZ11, 0, -1) * (1 + (1 + SUMPRODUCT(CogsCAGR, COGS)/SUM(COGS))^(1/12) - 1) )</f>
        <v>6.6622222222222227</v>
      </c>
      <c r="DA11" s="508">
        <f ca="1">IF(Income!W$4=1,cogsBase,OFFSET(DA11, 0, -1) * (1 + (1 + SUMPRODUCT(CogsCAGR, COGS)/SUM(COGS))^(1/12) - 1) )</f>
        <v>6.6767901480502996</v>
      </c>
      <c r="DB11" s="508">
        <f ca="1">IF(Income!X$4=1,cogsBase,OFFSET(DB11, 0, -1) * (1 + (1 + SUMPRODUCT(CogsCAGR, COGS)/SUM(COGS))^(1/12) - 1) )</f>
        <v>6.691389928784421</v>
      </c>
      <c r="DC11" s="508">
        <f ca="1">IF(Income!Y$4=1,cogsBase,OFFSET(DC11, 0, -1) * (1 + (1 + SUMPRODUCT(CogsCAGR, COGS)/SUM(COGS))^(1/12) - 1) )</f>
        <v>6.7060216340800087</v>
      </c>
      <c r="DD11" s="508">
        <f ca="1">IF(Income!Z$4=1,cogsBase,OFFSET(DD11, 0, -1) * (1 + (1 + SUMPRODUCT(CogsCAGR, COGS)/SUM(COGS))^(1/12) - 1) )</f>
        <v>6.7206853337447994</v>
      </c>
      <c r="DE11" s="508">
        <f ca="1">IF(Income!AA$4=1,cogsBase,OFFSET(DE11, 0, -1) * (1 + (1 + SUMPRODUCT(CogsCAGR, COGS)/SUM(COGS))^(1/12) - 1) )</f>
        <v>6.7353810977391717</v>
      </c>
      <c r="DF11" s="508">
        <f ca="1">IF(Income!AB$4=1,cogsBase,OFFSET(DF11, 0, -1) * (1 + (1 + SUMPRODUCT(CogsCAGR, COGS)/SUM(COGS))^(1/12) - 1) )</f>
        <v>6.7501089961764844</v>
      </c>
      <c r="DG11" s="508">
        <f ca="1">IF(Income!AC$4=1,cogsBase,OFFSET(DG11, 0, -1) * (1 + (1 + SUMPRODUCT(CogsCAGR, COGS)/SUM(COGS))^(1/12) - 1) )</f>
        <v>6.7648690993234091</v>
      </c>
      <c r="DH11" s="508">
        <f ca="1">IF(Income!AD$4=1,cogsBase,OFFSET(DH11, 0, -1) * (1 + (1 + SUMPRODUCT(CogsCAGR, COGS)/SUM(COGS))^(1/12) - 1) )</f>
        <v>6.7796614776002659</v>
      </c>
      <c r="DI11" s="508">
        <f ca="1">IF(Income!AE$4=1,cogsBase,OFFSET(DI11, 0, -1) * (1 + (1 + SUMPRODUCT(CogsCAGR, COGS)/SUM(COGS))^(1/12) - 1) )</f>
        <v>6.7944862015813596</v>
      </c>
      <c r="DJ11" s="508">
        <f ca="1">IF(Income!AF$4=1,cogsBase,OFFSET(DJ11, 0, -1) * (1 + (1 + SUMPRODUCT(CogsCAGR, COGS)/SUM(COGS))^(1/12) - 1) )</f>
        <v>6.8093433419953149</v>
      </c>
      <c r="DK11" s="508">
        <f ca="1">IF(Income!AG$4=1,cogsBase,OFFSET(DK11, 0, -1) * (1 + (1 + SUMPRODUCT(CogsCAGR, COGS)/SUM(COGS))^(1/12) - 1) )</f>
        <v>6.8242329697254167</v>
      </c>
      <c r="DL11" s="508">
        <f ca="1">IF(Income!AH$4=1,cogsBase,OFFSET(DL11, 0, -1) * (1 + (1 + SUMPRODUCT(CogsCAGR, COGS)/SUM(COGS))^(1/12) - 1) )</f>
        <v>6.8391551558099444</v>
      </c>
      <c r="DM11" s="508">
        <f ca="1">IF(Income!AI$4=1,cogsBase,OFFSET(DM11, 0, -1) * (1 + (1 + SUMPRODUCT(CogsCAGR, COGS)/SUM(COGS))^(1/12) - 1) )</f>
        <v>6.8541099714425151</v>
      </c>
      <c r="DN11" s="508">
        <f ca="1">IF(Income!AJ$4=1,cogsBase,OFFSET(DN11, 0, -1) * (1 + (1 + SUMPRODUCT(CogsCAGR, COGS)/SUM(COGS))^(1/12) - 1) )</f>
        <v>6.8690974879724207</v>
      </c>
      <c r="DO11" s="508">
        <f ca="1">IF(Income!AK$4=1,cogsBase,OFFSET(DO11, 0, -1) * (1 + (1 + SUMPRODUCT(CogsCAGR, COGS)/SUM(COGS))^(1/12) - 1) )</f>
        <v>6.8841177769049677</v>
      </c>
      <c r="DP11" s="508">
        <f ca="1">IF(Income!AL$4=1,cogsBase,OFFSET(DP11, 0, -1) * (1 + (1 + SUMPRODUCT(CogsCAGR, COGS)/SUM(COGS))^(1/12) - 1) )</f>
        <v>6.8991709099018204</v>
      </c>
      <c r="DQ11" s="508">
        <f ca="1">IF(Income!AM$4=1,cogsBase,OFFSET(DQ11, 0, -1) * (1 + (1 + SUMPRODUCT(CogsCAGR, COGS)/SUM(COGS))^(1/12) - 1) )</f>
        <v>6.9142569587813414</v>
      </c>
      <c r="DR11" s="508">
        <f ca="1">IF(Income!AN$4=1,cogsBase,OFFSET(DR11, 0, -1) * (1 + (1 + SUMPRODUCT(CogsCAGR, COGS)/SUM(COGS))^(1/12) - 1) )</f>
        <v>6.9293759955189351</v>
      </c>
      <c r="DS11" s="508">
        <f ca="1">IF(Income!AO$4=1,cogsBase,OFFSET(DS11, 0, -1) * (1 + (1 + SUMPRODUCT(CogsCAGR, COGS)/SUM(COGS))^(1/12) - 1) )</f>
        <v>6.9445280922473911</v>
      </c>
      <c r="DT11" s="508">
        <f ca="1">IF(Income!AP$4=1,cogsBase,OFFSET(DT11, 0, -1) * (1 + (1 + SUMPRODUCT(CogsCAGR, COGS)/SUM(COGS))^(1/12) - 1) )</f>
        <v>6.959713321257226</v>
      </c>
      <c r="DU11" s="508">
        <f ca="1">IF(Income!AQ$4=1,cogsBase,OFFSET(DU11, 0, -1) * (1 + (1 + SUMPRODUCT(CogsCAGR, COGS)/SUM(COGS))^(1/12) - 1) )</f>
        <v>6.9749317549970327</v>
      </c>
      <c r="DV11" s="508">
        <f ca="1">IF(Income!AR$4=1,cogsBase,OFFSET(DV11, 0, -1) * (1 + (1 + SUMPRODUCT(CogsCAGR, COGS)/SUM(COGS))^(1/12) - 1) )</f>
        <v>6.9901834660738214</v>
      </c>
      <c r="DW11" s="508">
        <f ca="1">IF(Income!AS$4=1,cogsBase,OFFSET(DW11, 0, -1) * (1 + (1 + SUMPRODUCT(CogsCAGR, COGS)/SUM(COGS))^(1/12) - 1) )</f>
        <v>7.0054685272533694</v>
      </c>
      <c r="DX11" s="508">
        <f ca="1">IF(Income!AT$4=1,cogsBase,OFFSET(DX11, 0, -1) * (1 + (1 + SUMPRODUCT(CogsCAGR, COGS)/SUM(COGS))^(1/12) - 1) )</f>
        <v>7.0207870114605679</v>
      </c>
      <c r="DY11" s="508">
        <f ca="1">IF(Income!AU$4=1,cogsBase,OFFSET(DY11, 0, -1) * (1 + (1 + SUMPRODUCT(CogsCAGR, COGS)/SUM(COGS))^(1/12) - 1) )</f>
        <v>7.036138991779767</v>
      </c>
      <c r="DZ11" s="508">
        <f ca="1">IF(Income!AV$4=1,cogsBase,OFFSET(DZ11, 0, -1) * (1 + (1 + SUMPRODUCT(CogsCAGR, COGS)/SUM(COGS))^(1/12) - 1) )</f>
        <v>7.0515245414551275</v>
      </c>
      <c r="EA11" s="508">
        <f ca="1">IF(Income!AW$4=1,cogsBase,OFFSET(EA11, 0, -1) * (1 + (1 + SUMPRODUCT(CogsCAGR, COGS)/SUM(COGS))^(1/12) - 1) )</f>
        <v>7.0669437338909686</v>
      </c>
      <c r="EB11" s="508">
        <f ca="1">IF(Income!AX$4=1,cogsBase,OFFSET(EB11, 0, -1) * (1 + (1 + SUMPRODUCT(CogsCAGR, COGS)/SUM(COGS))^(1/12) - 1) )</f>
        <v>7.0823966426521201</v>
      </c>
      <c r="EC11" s="508">
        <f ca="1">IF(Income!AY$4=1,cogsBase,OFFSET(EC11, 0, -1) * (1 + (1 + SUMPRODUCT(CogsCAGR, COGS)/SUM(COGS))^(1/12) - 1) )</f>
        <v>7.0978833414642715</v>
      </c>
      <c r="ED11" s="508">
        <f ca="1">IF(Income!AZ$4=1,cogsBase,OFFSET(ED11, 0, -1) * (1 + (1 + SUMPRODUCT(CogsCAGR, COGS)/SUM(COGS))^(1/12) - 1) )</f>
        <v>7.1134039042143238</v>
      </c>
      <c r="EE11" s="508">
        <f ca="1">IF(Income!BA$4=1,cogsBase,OFFSET(EE11, 0, -1) * (1 + (1 + SUMPRODUCT(CogsCAGR, COGS)/SUM(COGS))^(1/12) - 1) )</f>
        <v>7.128958404950744</v>
      </c>
      <c r="EF11" s="508">
        <f ca="1">IF(Income!BB$4=1,cogsBase,OFFSET(EF11, 0, -1) * (1 + (1 + SUMPRODUCT(CogsCAGR, COGS)/SUM(COGS))^(1/12) - 1) )</f>
        <v>7.1445469178839147</v>
      </c>
      <c r="EG11" s="508">
        <f ca="1">IF(Income!BC$4=1,cogsBase,OFFSET(EG11, 0, -1) * (1 + (1 + SUMPRODUCT(CogsCAGR, COGS)/SUM(COGS))^(1/12) - 1) )</f>
        <v>7.1601695173864925</v>
      </c>
      <c r="EH11" s="508">
        <f ca="1">IF(Income!BD$4=1,cogsBase,OFFSET(EH11, 0, -1) * (1 + (1 + SUMPRODUCT(CogsCAGR, COGS)/SUM(COGS))^(1/12) - 1) )</f>
        <v>7.1758262779937594</v>
      </c>
      <c r="EI11" s="508">
        <f ca="1">IF(Income!BE$4=1,cogsBase,OFFSET(EI11, 0, -1) * (1 + (1 + SUMPRODUCT(CogsCAGR, COGS)/SUM(COGS))^(1/12) - 1) )</f>
        <v>7.1915172744039797</v>
      </c>
      <c r="EJ11" s="508">
        <f ca="1">IF(Income!BF$4=1,cogsBase,OFFSET(EJ11, 0, -1) * (1 + (1 + SUMPRODUCT(CogsCAGR, COGS)/SUM(COGS))^(1/12) - 1) )</f>
        <v>7.2072425814787575</v>
      </c>
      <c r="EK11" s="508">
        <f ca="1">IF(Income!BG$4=1,cogsBase,OFFSET(EK11, 0, -1) * (1 + (1 + SUMPRODUCT(CogsCAGR, COGS)/SUM(COGS))^(1/12) - 1) )</f>
        <v>7.2230022742433917</v>
      </c>
      <c r="EL11" s="508">
        <f ca="1">IF(Income!BH$4=1,cogsBase,OFFSET(EL11, 0, -1) * (1 + (1 + SUMPRODUCT(CogsCAGR, COGS)/SUM(COGS))^(1/12) - 1) )</f>
        <v>7.2387964278872357</v>
      </c>
      <c r="EM11" s="508">
        <f ca="1">IF(Income!BI$4=1,cogsBase,OFFSET(EM11, 0, -1) * (1 + (1 + SUMPRODUCT(CogsCAGR, COGS)/SUM(COGS))^(1/12) - 1) )</f>
        <v>7.2546251177640553</v>
      </c>
      <c r="EN11" s="508">
        <f ca="1">IF(Income!BJ$4=1,cogsBase,OFFSET(EN11, 0, -1) * (1 + (1 + SUMPRODUCT(CogsCAGR, COGS)/SUM(COGS))^(1/12) - 1) )</f>
        <v>7.2704884193923878</v>
      </c>
      <c r="EO11" s="508">
        <f ca="1">IF(Income!BK$4=1,cogsBase,OFFSET(EO11, 0, -1) * (1 + (1 + SUMPRODUCT(CogsCAGR, COGS)/SUM(COGS))^(1/12) - 1) )</f>
        <v>7.286386408455904</v>
      </c>
      <c r="EP11" s="508">
        <f ca="1">IF(Income!BL$4=1,cogsBase,OFFSET(EP11, 0, -1) * (1 + (1 + SUMPRODUCT(CogsCAGR, COGS)/SUM(COGS))^(1/12) - 1) )</f>
        <v>7.3023191608037665</v>
      </c>
      <c r="EQ11" s="508">
        <f ca="1">IF(Income!BM$4=1,cogsBase,OFFSET(EQ11, 0, -1) * (1 + (1 + SUMPRODUCT(CogsCAGR, COGS)/SUM(COGS))^(1/12) - 1) )</f>
        <v>7.3182867524509954</v>
      </c>
      <c r="ER11" s="508">
        <f ca="1">IF(Income!BN$4=1,cogsBase,OFFSET(ER11, 0, -1) * (1 + (1 + SUMPRODUCT(CogsCAGR, COGS)/SUM(COGS))^(1/12) - 1) )</f>
        <v>7.334289259578826</v>
      </c>
      <c r="ES11" s="508">
        <f ca="1">IF(Income!BO$4=1,cogsBase,OFFSET(ES11, 0, -1) * (1 + (1 + SUMPRODUCT(CogsCAGR, COGS)/SUM(COGS))^(1/12) - 1) )</f>
        <v>7.3503267585350782</v>
      </c>
      <c r="ET11" s="508">
        <f ca="1">IF(Income!BP$4=1,cogsBase,OFFSET(ET11, 0, -1) * (1 + (1 + SUMPRODUCT(CogsCAGR, COGS)/SUM(COGS))^(1/12) - 1) )</f>
        <v>7.3663993258345153</v>
      </c>
      <c r="EU11" s="508">
        <f ca="1">IF(Income!BQ$4=1,cogsBase,OFFSET(EU11, 0, -1) * (1 + (1 + SUMPRODUCT(CogsCAGR, COGS)/SUM(COGS))^(1/12) - 1) )</f>
        <v>7.3825070381592113</v>
      </c>
      <c r="EV11" s="508">
        <f ca="1">IF(Income!BR$4=1,cogsBase,OFFSET(EV11, 0, -1) * (1 + (1 + SUMPRODUCT(CogsCAGR, COGS)/SUM(COGS))^(1/12) - 1) )</f>
        <v>7.3986499723589185</v>
      </c>
      <c r="EW11" s="469" t="s">
        <v>23</v>
      </c>
      <c r="EX11" s="468"/>
      <c r="EY11" s="17"/>
    </row>
    <row r="12" spans="1:155" s="19" customFormat="1" ht="12.6" x14ac:dyDescent="0.25">
      <c r="A12" s="17"/>
      <c r="B12" s="201"/>
      <c r="C12" s="21" t="s">
        <v>49</v>
      </c>
      <c r="E12" s="22">
        <f ca="1">Credit!$V45</f>
        <v>161.4895914706762</v>
      </c>
      <c r="F12" s="23"/>
      <c r="G12" s="22">
        <f ca="1">Credit!$AH45</f>
        <v>0</v>
      </c>
      <c r="H12" s="24">
        <f ca="1">G12-E12</f>
        <v>-161.4895914706762</v>
      </c>
      <c r="I12" s="25" t="str">
        <f ca="1">IFERROR(IF(G12/E12-1=-1,"n/a",G12/E12-1),0)</f>
        <v>n/a</v>
      </c>
      <c r="J12" s="26"/>
      <c r="K12" s="22">
        <f ca="1">Credit!$AT45</f>
        <v>0</v>
      </c>
      <c r="L12" s="27">
        <f ca="1">K12-G12</f>
        <v>0</v>
      </c>
      <c r="M12" s="26">
        <f ca="1">IFERROR(IF(K12/G12-1=-1,"n/a",K12/G12-1),0)</f>
        <v>0</v>
      </c>
      <c r="N12" s="23"/>
      <c r="O12" s="22">
        <f ca="1">Credit!$BF45</f>
        <v>0</v>
      </c>
      <c r="P12" s="27">
        <f ca="1">O12-K12</f>
        <v>0</v>
      </c>
      <c r="Q12" s="26">
        <f ca="1">IFERROR(IF(O12/K12-1=-1,"n/a",O12/K12-1),0)</f>
        <v>0</v>
      </c>
      <c r="R12" s="23"/>
      <c r="S12" s="22">
        <f ca="1">Credit!$BR45</f>
        <v>0</v>
      </c>
      <c r="T12" s="27">
        <f ca="1">S12-O12</f>
        <v>0</v>
      </c>
      <c r="U12" s="26">
        <f ca="1">IFERROR(IF(S12/O12-1=-1,"n/a",S12/O12-1),0)</f>
        <v>0</v>
      </c>
      <c r="V12" s="23"/>
      <c r="AZ12" s="17"/>
      <c r="BA12" s="17"/>
      <c r="BB12" s="469" t="s">
        <v>23</v>
      </c>
      <c r="BC12" s="491"/>
      <c r="BD12" s="510">
        <f ca="1">BH17</f>
        <v>529.37653741355814</v>
      </c>
      <c r="BE12" s="511" t="s">
        <v>43</v>
      </c>
      <c r="BF12" s="469" t="s">
        <v>23</v>
      </c>
      <c r="BG12" s="473" t="str">
        <f>BE15</f>
        <v>COGS</v>
      </c>
      <c r="BH12" s="509">
        <f ca="1">Income!$F$8/ (SUM(Units)*(1+SUMPRODUCT(Units,UnitsCAGR)/SUM(Units))  )    *(1+BC15)</f>
        <v>6.75843650679571</v>
      </c>
      <c r="BI12" s="491">
        <f ca="1">SLOPE(BE16:BE17,BC16:BC17)</f>
        <v>-8.4707619347243579</v>
      </c>
      <c r="BJ12" s="491">
        <f t="shared" ca="1" si="2"/>
        <v>7</v>
      </c>
      <c r="BK12" s="489" t="s">
        <v>23</v>
      </c>
      <c r="BL12" s="473" t="str">
        <f ca="1">INDEX(Summary!$BG$10:$BG$16,MATCH(BN12,Summary!$BJ$10:$BJ$16,0))</f>
        <v>Depn</v>
      </c>
      <c r="BM12" s="491">
        <f ca="1">INDEX(Summary!$BI$10:$BI$16,MATCH(BN12,Summary!$BJ$10:$BJ$16,0))</f>
        <v>-0.15881715212548975</v>
      </c>
      <c r="BN12" s="491">
        <v>3</v>
      </c>
      <c r="BO12" s="489" t="s">
        <v>23</v>
      </c>
      <c r="BP12" s="490"/>
      <c r="BQ12" s="489" t="s">
        <v>23</v>
      </c>
      <c r="BR12" s="498" t="s">
        <v>50</v>
      </c>
      <c r="BS12" s="512"/>
      <c r="BT12" s="501"/>
      <c r="BU12" s="500">
        <f>SUMPRODUCT(Overhead,OverheadCAGR)/SUM(Overhead)</f>
        <v>2.8199999999999999E-2</v>
      </c>
      <c r="BV12" s="489" t="s">
        <v>23</v>
      </c>
      <c r="BW12" s="490"/>
      <c r="BX12" s="489" t="s">
        <v>23</v>
      </c>
      <c r="BY12" s="473" t="s">
        <v>51</v>
      </c>
      <c r="BZ12" s="502">
        <f ca="1">ValWACC</f>
        <v>8.8875302804408682E-2</v>
      </c>
      <c r="CA12" s="502"/>
      <c r="CB12" s="502"/>
      <c r="CC12" s="503"/>
      <c r="CD12" s="472"/>
      <c r="CE12" s="489" t="s">
        <v>23</v>
      </c>
      <c r="CF12" s="490"/>
      <c r="CG12" s="489"/>
      <c r="CH12" s="475" t="s">
        <v>16</v>
      </c>
      <c r="CI12" s="513" t="s">
        <v>19</v>
      </c>
      <c r="CJ12" s="513" t="s">
        <v>19</v>
      </c>
      <c r="CK12" s="513" t="s">
        <v>19</v>
      </c>
      <c r="CL12" s="513" t="s">
        <v>19</v>
      </c>
      <c r="CM12" s="513" t="s">
        <v>19</v>
      </c>
      <c r="CN12" s="513"/>
      <c r="CO12" s="513" t="s">
        <v>19</v>
      </c>
      <c r="CP12" s="513" t="s">
        <v>19</v>
      </c>
      <c r="CQ12" s="513" t="s">
        <v>19</v>
      </c>
      <c r="CR12" s="513" t="s">
        <v>19</v>
      </c>
      <c r="CS12" s="513" t="s">
        <v>19</v>
      </c>
      <c r="CT12" s="513" t="s">
        <v>19</v>
      </c>
      <c r="CU12" s="513" t="s">
        <v>19</v>
      </c>
      <c r="CV12" s="513" t="s">
        <v>19</v>
      </c>
      <c r="CW12" s="513" t="s">
        <v>19</v>
      </c>
      <c r="CX12" s="513" t="s">
        <v>19</v>
      </c>
      <c r="CY12" s="513" t="s">
        <v>19</v>
      </c>
      <c r="CZ12" s="513" t="s">
        <v>19</v>
      </c>
      <c r="DA12" s="513" t="s">
        <v>19</v>
      </c>
      <c r="DB12" s="513" t="s">
        <v>19</v>
      </c>
      <c r="DC12" s="513" t="s">
        <v>19</v>
      </c>
      <c r="DD12" s="513" t="s">
        <v>19</v>
      </c>
      <c r="DE12" s="513" t="s">
        <v>19</v>
      </c>
      <c r="DF12" s="513" t="s">
        <v>19</v>
      </c>
      <c r="DG12" s="513" t="s">
        <v>19</v>
      </c>
      <c r="DH12" s="513" t="s">
        <v>19</v>
      </c>
      <c r="DI12" s="513" t="s">
        <v>19</v>
      </c>
      <c r="DJ12" s="513" t="s">
        <v>19</v>
      </c>
      <c r="DK12" s="513" t="s">
        <v>19</v>
      </c>
      <c r="DL12" s="513" t="s">
        <v>19</v>
      </c>
      <c r="DM12" s="513" t="s">
        <v>19</v>
      </c>
      <c r="DN12" s="513" t="s">
        <v>19</v>
      </c>
      <c r="DO12" s="513" t="s">
        <v>19</v>
      </c>
      <c r="DP12" s="513" t="s">
        <v>19</v>
      </c>
      <c r="DQ12" s="513" t="s">
        <v>19</v>
      </c>
      <c r="DR12" s="513" t="s">
        <v>19</v>
      </c>
      <c r="DS12" s="513" t="s">
        <v>19</v>
      </c>
      <c r="DT12" s="513" t="s">
        <v>19</v>
      </c>
      <c r="DU12" s="513" t="s">
        <v>19</v>
      </c>
      <c r="DV12" s="513" t="s">
        <v>19</v>
      </c>
      <c r="DW12" s="513" t="s">
        <v>19</v>
      </c>
      <c r="DX12" s="513" t="s">
        <v>19</v>
      </c>
      <c r="DY12" s="513" t="s">
        <v>19</v>
      </c>
      <c r="DZ12" s="513" t="s">
        <v>19</v>
      </c>
      <c r="EA12" s="513" t="s">
        <v>19</v>
      </c>
      <c r="EB12" s="513" t="s">
        <v>19</v>
      </c>
      <c r="EC12" s="513" t="s">
        <v>19</v>
      </c>
      <c r="ED12" s="513" t="s">
        <v>19</v>
      </c>
      <c r="EE12" s="513" t="s">
        <v>19</v>
      </c>
      <c r="EF12" s="513" t="s">
        <v>19</v>
      </c>
      <c r="EG12" s="513" t="s">
        <v>19</v>
      </c>
      <c r="EH12" s="513" t="s">
        <v>19</v>
      </c>
      <c r="EI12" s="513" t="s">
        <v>19</v>
      </c>
      <c r="EJ12" s="513" t="s">
        <v>19</v>
      </c>
      <c r="EK12" s="513" t="s">
        <v>19</v>
      </c>
      <c r="EL12" s="513" t="s">
        <v>19</v>
      </c>
      <c r="EM12" s="513" t="s">
        <v>19</v>
      </c>
      <c r="EN12" s="513" t="s">
        <v>19</v>
      </c>
      <c r="EO12" s="513" t="s">
        <v>19</v>
      </c>
      <c r="EP12" s="513" t="s">
        <v>19</v>
      </c>
      <c r="EQ12" s="513" t="s">
        <v>19</v>
      </c>
      <c r="ER12" s="513" t="s">
        <v>19</v>
      </c>
      <c r="ES12" s="513" t="s">
        <v>19</v>
      </c>
      <c r="ET12" s="513" t="s">
        <v>19</v>
      </c>
      <c r="EU12" s="513" t="s">
        <v>19</v>
      </c>
      <c r="EV12" s="513" t="s">
        <v>19</v>
      </c>
      <c r="EW12" s="513"/>
      <c r="EX12" s="468"/>
      <c r="EY12" s="17"/>
    </row>
    <row r="13" spans="1:155" s="19" customFormat="1" ht="12.6" x14ac:dyDescent="0.25">
      <c r="A13" s="17"/>
      <c r="B13" s="201"/>
      <c r="C13" s="18" t="s">
        <v>52</v>
      </c>
      <c r="H13" s="28"/>
      <c r="I13" s="28"/>
      <c r="J13" s="20"/>
      <c r="L13" s="20"/>
      <c r="M13" s="20"/>
      <c r="P13" s="20"/>
      <c r="Q13" s="20"/>
      <c r="T13" s="20"/>
      <c r="U13" s="20"/>
      <c r="V13" s="23"/>
      <c r="AZ13" s="17"/>
      <c r="BA13" s="17"/>
      <c r="BB13" s="469" t="s">
        <v>23</v>
      </c>
      <c r="BC13" s="491">
        <v>1</v>
      </c>
      <c r="BD13" s="491">
        <v>6504.0211758332998</v>
      </c>
      <c r="BE13" s="506">
        <f ca="1">BD13/BD12</f>
        <v>12.286190860688345</v>
      </c>
      <c r="BF13" s="469" t="s">
        <v>23</v>
      </c>
      <c r="BG13" s="473" t="str">
        <f>BE18</f>
        <v>Payroll</v>
      </c>
      <c r="BH13" s="472">
        <f>Income!$F$11*(1+BC18)</f>
        <v>409.84517857142856</v>
      </c>
      <c r="BI13" s="491">
        <f ca="1">SLOPE(BE19:BE20,BC19:BC20)</f>
        <v>-0.77420351981193014</v>
      </c>
      <c r="BJ13" s="491">
        <f t="shared" ca="1" si="2"/>
        <v>5</v>
      </c>
      <c r="BK13" s="489" t="s">
        <v>23</v>
      </c>
      <c r="BL13" s="473" t="str">
        <f ca="1">INDEX(Summary!$BG$10:$BG$16,MATCH(BN13,Summary!$BJ$10:$BJ$16,0))</f>
        <v>Cmsns</v>
      </c>
      <c r="BM13" s="491">
        <f ca="1">INDEX(Summary!$BI$10:$BI$16,MATCH(BN13,Summary!$BJ$10:$BJ$16,0))</f>
        <v>-0.2289001602562768</v>
      </c>
      <c r="BN13" s="491">
        <v>4</v>
      </c>
      <c r="BO13" s="489" t="s">
        <v>23</v>
      </c>
      <c r="BP13" s="490"/>
      <c r="BQ13" s="489" t="s">
        <v>23</v>
      </c>
      <c r="BR13" s="490" t="s">
        <v>53</v>
      </c>
      <c r="BS13" s="499">
        <f>SUMPRODUCT(PaySalary,PayFTE)</f>
        <v>280</v>
      </c>
      <c r="BT13" s="501"/>
      <c r="BU13" s="500">
        <f>SUMPRODUCT(PayFTE,PaySalary,PayCAGR)/paySalaryWgtd</f>
        <v>1.3214285714285715E-2</v>
      </c>
      <c r="BV13" s="489" t="s">
        <v>23</v>
      </c>
      <c r="BW13" s="490"/>
      <c r="BX13" s="489" t="s">
        <v>23</v>
      </c>
      <c r="BY13" s="514" t="s">
        <v>54</v>
      </c>
      <c r="BZ13" s="515"/>
      <c r="CA13" s="502">
        <f ca="1">CC13*CB13</f>
        <v>2.5074626865671641E-2</v>
      </c>
      <c r="CB13" s="502">
        <f>RateShort</f>
        <v>7.0000000000000007E-2</v>
      </c>
      <c r="CC13" s="503">
        <f ca="1" xml:space="preserve"> Balance!F23/ SUM(Balance!F$22,Balance!F$23,Balance!F$25,Balance!F$27,Balance!F$28)</f>
        <v>0.35820895522388058</v>
      </c>
      <c r="CD13" s="491">
        <v>20</v>
      </c>
      <c r="CE13" s="489" t="s">
        <v>23</v>
      </c>
      <c r="CF13" s="490"/>
      <c r="CG13" s="489"/>
      <c r="CH13" s="470"/>
      <c r="CI13" s="469"/>
      <c r="CJ13" s="469"/>
      <c r="CK13" s="469"/>
      <c r="CL13" s="469"/>
      <c r="CM13" s="469"/>
      <c r="CN13" s="469"/>
      <c r="CO13" s="469"/>
      <c r="CP13" s="469"/>
      <c r="CQ13" s="469"/>
      <c r="CR13" s="469"/>
      <c r="CS13" s="469"/>
      <c r="CT13" s="469"/>
      <c r="CU13" s="469"/>
      <c r="CV13" s="469"/>
      <c r="CW13" s="469"/>
      <c r="CX13" s="469"/>
      <c r="CY13" s="469"/>
      <c r="CZ13" s="469"/>
      <c r="DA13" s="469"/>
      <c r="DB13" s="469"/>
      <c r="DC13" s="469"/>
      <c r="DD13" s="469"/>
      <c r="DE13" s="469"/>
      <c r="DF13" s="469"/>
      <c r="DG13" s="469"/>
      <c r="DH13" s="469"/>
      <c r="DI13" s="469"/>
      <c r="DJ13" s="469"/>
      <c r="DK13" s="469"/>
      <c r="DL13" s="469"/>
      <c r="DM13" s="469"/>
      <c r="DN13" s="469"/>
      <c r="DO13" s="469"/>
      <c r="DP13" s="469"/>
      <c r="DQ13" s="469"/>
      <c r="DR13" s="469"/>
      <c r="DS13" s="469"/>
      <c r="DT13" s="469"/>
      <c r="DU13" s="469"/>
      <c r="DV13" s="469"/>
      <c r="DW13" s="469"/>
      <c r="DX13" s="469"/>
      <c r="DY13" s="469"/>
      <c r="DZ13" s="469"/>
      <c r="EA13" s="469"/>
      <c r="EB13" s="469"/>
      <c r="EC13" s="469"/>
      <c r="ED13" s="469"/>
      <c r="EE13" s="469"/>
      <c r="EF13" s="469"/>
      <c r="EG13" s="469"/>
      <c r="EH13" s="469"/>
      <c r="EI13" s="469"/>
      <c r="EJ13" s="469"/>
      <c r="EK13" s="469"/>
      <c r="EL13" s="469"/>
      <c r="EM13" s="469"/>
      <c r="EN13" s="469"/>
      <c r="EO13" s="469"/>
      <c r="EP13" s="469"/>
      <c r="EQ13" s="469"/>
      <c r="ER13" s="469"/>
      <c r="ES13" s="469"/>
      <c r="ET13" s="469"/>
      <c r="EU13" s="469"/>
      <c r="EV13" s="469"/>
      <c r="EW13" s="469"/>
      <c r="EX13" s="468"/>
      <c r="EY13" s="17"/>
    </row>
    <row r="14" spans="1:155" s="19" customFormat="1" ht="12.6" x14ac:dyDescent="0.25">
      <c r="A14" s="17"/>
      <c r="B14" s="175"/>
      <c r="C14" s="21" t="s">
        <v>55</v>
      </c>
      <c r="E14" s="22">
        <f ca="1">SUM(Income!$K7:$V7)</f>
        <v>5569.9439058338949</v>
      </c>
      <c r="F14" s="23"/>
      <c r="G14" s="22">
        <f ca="1">SUM(Income!$W7:$AH7)</f>
        <v>6058.7187124938164</v>
      </c>
      <c r="H14" s="24">
        <f t="shared" ref="H14:H19" ca="1" si="3">G14-E14</f>
        <v>488.77480665992152</v>
      </c>
      <c r="I14" s="25">
        <f t="shared" ref="I14:I19" ca="1" si="4">IFERROR(IF(G14/E14-1=-1,"n/a",G14/E14-1),0)</f>
        <v>8.7752195519955611E-2</v>
      </c>
      <c r="J14" s="26"/>
      <c r="K14" s="22">
        <f ca="1">SUM(Income!$AI7:$AT7)</f>
        <v>6590.3845815529903</v>
      </c>
      <c r="L14" s="27">
        <f t="shared" ref="L14:L19" ca="1" si="5">K14-G14</f>
        <v>531.66586905917393</v>
      </c>
      <c r="M14" s="26">
        <f t="shared" ref="M14:M19" ca="1" si="6">IFERROR(IF(K14/G14-1=-1,"n/a",K14/G14-1),0)</f>
        <v>8.7752195519956055E-2</v>
      </c>
      <c r="N14" s="23"/>
      <c r="O14" s="22">
        <f ca="1">SUM(Income!$AU7:$BF7)</f>
        <v>7168.7052979051286</v>
      </c>
      <c r="P14" s="27">
        <f ca="1">O14-K14</f>
        <v>578.32071635213833</v>
      </c>
      <c r="Q14" s="26">
        <f ca="1">IFERROR(IF(O14/K14-1=-1,"n/a",O14/K14-1),0)</f>
        <v>8.7752195519955611E-2</v>
      </c>
      <c r="R14" s="23"/>
      <c r="S14" s="22">
        <f ca="1">SUM(Income!$BG7:$BR7)</f>
        <v>7797.7749268318439</v>
      </c>
      <c r="T14" s="27">
        <f ca="1">S14-O14</f>
        <v>629.06962892671527</v>
      </c>
      <c r="U14" s="26">
        <f ca="1">IFERROR(IF(S14/O14-1=-1,"n/a",S14/O14-1),0)</f>
        <v>8.7752195519956055E-2</v>
      </c>
      <c r="V14" s="23"/>
      <c r="AZ14" s="17"/>
      <c r="BA14" s="17"/>
      <c r="BB14" s="469" t="s">
        <v>23</v>
      </c>
      <c r="BC14" s="497">
        <v>2</v>
      </c>
      <c r="BD14" s="497">
        <v>12562.739888327116</v>
      </c>
      <c r="BE14" s="514">
        <f ca="1">BD14/BD12</f>
        <v>23.73119887350218</v>
      </c>
      <c r="BF14" s="469" t="s">
        <v>23</v>
      </c>
      <c r="BG14" s="496" t="str">
        <f>BE21</f>
        <v>Overhead</v>
      </c>
      <c r="BH14" s="497">
        <f>SUM(Overhead)*(1+SUMPRODUCT(Overhead,OverheadCAGR)/SUM(Overhead)) * (1+BC21)</f>
        <v>514.1</v>
      </c>
      <c r="BI14" s="497">
        <f ca="1">SLOPE(BE22:BE23,BC22:BC23)</f>
        <v>-0.97114239802127145</v>
      </c>
      <c r="BJ14" s="491">
        <f t="shared" ca="1" si="2"/>
        <v>6</v>
      </c>
      <c r="BK14" s="489" t="s">
        <v>23</v>
      </c>
      <c r="BL14" s="473" t="str">
        <f ca="1">INDEX(Summary!$BG$10:$BG$16,MATCH(BN14,Summary!$BJ$10:$BJ$16,0))</f>
        <v>Payroll</v>
      </c>
      <c r="BM14" s="491">
        <f ca="1">INDEX(Summary!$BI$10:$BI$16,MATCH(BN14,Summary!$BJ$10:$BJ$16,0))</f>
        <v>-0.77420351981193014</v>
      </c>
      <c r="BN14" s="497">
        <v>5</v>
      </c>
      <c r="BO14" s="489" t="s">
        <v>23</v>
      </c>
      <c r="BP14" s="490"/>
      <c r="BQ14" s="489" t="s">
        <v>23</v>
      </c>
      <c r="BR14" s="516" t="s">
        <v>56</v>
      </c>
      <c r="BS14" s="517">
        <f>SUMPRODUCT(PaySalary,PayFTE,PayBonus)/SUMPRODUCT(PaySalary,PayFTE)</f>
        <v>0.14464285714285716</v>
      </c>
      <c r="BT14" s="512"/>
      <c r="BU14" s="512"/>
      <c r="BV14" s="489" t="s">
        <v>23</v>
      </c>
      <c r="BW14" s="490"/>
      <c r="BX14" s="489" t="s">
        <v>23</v>
      </c>
      <c r="BY14" s="473" t="s">
        <v>57</v>
      </c>
      <c r="BZ14" s="472"/>
      <c r="CA14" s="502">
        <f ca="1">CC14*CB14</f>
        <v>0</v>
      </c>
      <c r="CB14" s="502">
        <f>RateCredit</f>
        <v>8.7499999999999994E-2</v>
      </c>
      <c r="CC14" s="503">
        <f ca="1">Balance!$F$22/ SUM(Balance!F$22,Balance!F$23,Balance!F$25,Balance!F$27,Balance!F$28)</f>
        <v>0</v>
      </c>
      <c r="CD14" s="472">
        <v>20</v>
      </c>
      <c r="CE14" s="489" t="s">
        <v>23</v>
      </c>
      <c r="CF14" s="490"/>
      <c r="CG14" s="489"/>
      <c r="CH14" s="470"/>
      <c r="CI14" s="469"/>
      <c r="CJ14" s="477"/>
      <c r="CK14" s="477"/>
      <c r="CL14" s="477"/>
      <c r="CM14" s="477"/>
      <c r="CN14" s="469"/>
      <c r="CO14" s="469"/>
      <c r="CP14" s="469"/>
      <c r="CQ14" s="469"/>
      <c r="CR14" s="469"/>
      <c r="CS14" s="469"/>
      <c r="CT14" s="469"/>
      <c r="CU14" s="469"/>
      <c r="CV14" s="469"/>
      <c r="CW14" s="469"/>
      <c r="CX14" s="469"/>
      <c r="CY14" s="469"/>
      <c r="CZ14" s="469"/>
      <c r="DA14" s="469"/>
      <c r="DB14" s="469"/>
      <c r="DC14" s="469"/>
      <c r="DD14" s="469"/>
      <c r="DE14" s="469"/>
      <c r="DF14" s="469"/>
      <c r="DG14" s="469"/>
      <c r="DH14" s="469"/>
      <c r="DI14" s="469"/>
      <c r="DJ14" s="469"/>
      <c r="DK14" s="469"/>
      <c r="DL14" s="469"/>
      <c r="DM14" s="469"/>
      <c r="DN14" s="469"/>
      <c r="DO14" s="469"/>
      <c r="DP14" s="469"/>
      <c r="DQ14" s="469"/>
      <c r="DR14" s="469"/>
      <c r="DS14" s="469"/>
      <c r="DT14" s="469"/>
      <c r="DU14" s="469"/>
      <c r="DV14" s="469"/>
      <c r="DW14" s="469"/>
      <c r="DX14" s="469"/>
      <c r="DY14" s="469"/>
      <c r="DZ14" s="469"/>
      <c r="EA14" s="469"/>
      <c r="EB14" s="469"/>
      <c r="EC14" s="469"/>
      <c r="ED14" s="469"/>
      <c r="EE14" s="469"/>
      <c r="EF14" s="469"/>
      <c r="EG14" s="469"/>
      <c r="EH14" s="469"/>
      <c r="EI14" s="469"/>
      <c r="EJ14" s="469"/>
      <c r="EK14" s="469"/>
      <c r="EL14" s="469"/>
      <c r="EM14" s="469"/>
      <c r="EN14" s="469"/>
      <c r="EO14" s="469"/>
      <c r="EP14" s="469"/>
      <c r="EQ14" s="469"/>
      <c r="ER14" s="469"/>
      <c r="ES14" s="469"/>
      <c r="ET14" s="469"/>
      <c r="EU14" s="469"/>
      <c r="EV14" s="469"/>
      <c r="EW14" s="469"/>
      <c r="EX14" s="468"/>
      <c r="EY14" s="17"/>
    </row>
    <row r="15" spans="1:155" s="19" customFormat="1" ht="12.6" x14ac:dyDescent="0.25">
      <c r="A15" s="17"/>
      <c r="B15" s="201"/>
      <c r="C15" s="21" t="s">
        <v>58</v>
      </c>
      <c r="E15" s="22">
        <f ca="1">SUM(Income!$K8:$V8)</f>
        <v>4147.6628414001207</v>
      </c>
      <c r="F15" s="23"/>
      <c r="G15" s="22">
        <f ca="1">SUM(Income!$W8:$AH8)</f>
        <v>4484.2226222589534</v>
      </c>
      <c r="H15" s="24">
        <f t="shared" ca="1" si="3"/>
        <v>336.55978085883271</v>
      </c>
      <c r="I15" s="25">
        <f t="shared" ca="1" si="4"/>
        <v>8.1144440550818819E-2</v>
      </c>
      <c r="J15" s="26"/>
      <c r="K15" s="22">
        <f ca="1">SUM(Income!$AI8:$AT8)</f>
        <v>4848.0923582474816</v>
      </c>
      <c r="L15" s="27">
        <f t="shared" ca="1" si="5"/>
        <v>363.86973598852819</v>
      </c>
      <c r="M15" s="26">
        <f t="shared" ca="1" si="6"/>
        <v>8.1144440550818819E-2</v>
      </c>
      <c r="N15" s="23"/>
      <c r="O15" s="22">
        <f ca="1">SUM(Income!$AU8:$BF8)</f>
        <v>5241.4881003961727</v>
      </c>
      <c r="P15" s="27">
        <f ca="1">O15-K15</f>
        <v>393.39574214869117</v>
      </c>
      <c r="Q15" s="26">
        <f ca="1">IFERROR(IF(O15/K15-1=-1,"n/a",O15/K15-1),0)</f>
        <v>8.1144440550818597E-2</v>
      </c>
      <c r="R15" s="23"/>
      <c r="S15" s="22">
        <f ca="1">SUM(Income!$BG8:$BR8)</f>
        <v>5666.8057199565937</v>
      </c>
      <c r="T15" s="27">
        <f ca="1">S15-O15</f>
        <v>425.31761956042101</v>
      </c>
      <c r="U15" s="26">
        <f ca="1">IFERROR(IF(S15/O15-1=-1,"n/a",S15/O15-1),0)</f>
        <v>8.1144440550818819E-2</v>
      </c>
      <c r="V15" s="23"/>
      <c r="AZ15" s="17"/>
      <c r="BA15" s="17"/>
      <c r="BB15" s="469" t="s">
        <v>23</v>
      </c>
      <c r="BC15" s="510"/>
      <c r="BD15" s="510">
        <f ca="1">BH17</f>
        <v>529.37653741355814</v>
      </c>
      <c r="BE15" s="511" t="s">
        <v>47</v>
      </c>
      <c r="BF15" s="469" t="s">
        <v>23</v>
      </c>
      <c r="BG15" s="496" t="s">
        <v>59</v>
      </c>
      <c r="BH15" s="497">
        <f ca="1">PayCommissions*Income!F7*(1+BC24)</f>
        <v>121.17437424987634</v>
      </c>
      <c r="BI15" s="497">
        <f ca="1">SLOPE(BE25:BE26,BC25:BC26)</f>
        <v>-0.2289001602562768</v>
      </c>
      <c r="BJ15" s="491">
        <f t="shared" ca="1" si="2"/>
        <v>4</v>
      </c>
      <c r="BK15" s="489" t="s">
        <v>23</v>
      </c>
      <c r="BL15" s="473" t="str">
        <f ca="1">INDEX(Summary!$BG$10:$BG$16,MATCH(BN15,Summary!$BJ$10:$BJ$16,0))</f>
        <v>Overhead</v>
      </c>
      <c r="BM15" s="491">
        <f ca="1">INDEX(Summary!$BI$10:$BI$16,MATCH(BN15,Summary!$BJ$10:$BJ$16,0))</f>
        <v>-0.97114239802127145</v>
      </c>
      <c r="BN15" s="491">
        <v>6</v>
      </c>
      <c r="BO15" s="489" t="s">
        <v>23</v>
      </c>
      <c r="BP15" s="490"/>
      <c r="BQ15" s="513"/>
      <c r="BR15" s="475" t="s">
        <v>16</v>
      </c>
      <c r="BS15" s="513" t="s">
        <v>18</v>
      </c>
      <c r="BT15" s="513" t="s">
        <v>18</v>
      </c>
      <c r="BU15" s="513" t="s">
        <v>19</v>
      </c>
      <c r="BV15" s="513"/>
      <c r="BW15" s="490"/>
      <c r="BX15" s="513"/>
      <c r="BY15" s="475" t="s">
        <v>17</v>
      </c>
      <c r="BZ15" s="513" t="s">
        <v>18</v>
      </c>
      <c r="CA15" s="513" t="s">
        <v>20</v>
      </c>
      <c r="CB15" s="513" t="s">
        <v>18</v>
      </c>
      <c r="CC15" s="513" t="s">
        <v>17</v>
      </c>
      <c r="CD15" s="475" t="s">
        <v>21</v>
      </c>
      <c r="CE15" s="513"/>
      <c r="CF15" s="490"/>
      <c r="CG15" s="513"/>
      <c r="CH15" s="470"/>
      <c r="CI15" s="469"/>
      <c r="CJ15" s="469"/>
      <c r="CK15" s="469"/>
      <c r="CL15" s="469"/>
      <c r="CM15" s="469"/>
      <c r="CN15" s="469"/>
      <c r="CO15" s="477"/>
      <c r="CP15" s="469"/>
      <c r="CQ15" s="469"/>
      <c r="CR15" s="469"/>
      <c r="CS15" s="469"/>
      <c r="CT15" s="469"/>
      <c r="CU15" s="469"/>
      <c r="CV15" s="469"/>
      <c r="CW15" s="469"/>
      <c r="CX15" s="469"/>
      <c r="CY15" s="469"/>
      <c r="CZ15" s="469"/>
      <c r="DA15" s="469"/>
      <c r="DB15" s="469"/>
      <c r="DC15" s="469"/>
      <c r="DD15" s="469"/>
      <c r="DE15" s="469"/>
      <c r="DF15" s="469"/>
      <c r="DG15" s="469"/>
      <c r="DH15" s="469"/>
      <c r="DI15" s="469"/>
      <c r="DJ15" s="469"/>
      <c r="DK15" s="469"/>
      <c r="DL15" s="469"/>
      <c r="DM15" s="469"/>
      <c r="DN15" s="469"/>
      <c r="DO15" s="469"/>
      <c r="DP15" s="469"/>
      <c r="DQ15" s="469"/>
      <c r="DR15" s="469"/>
      <c r="DS15" s="469"/>
      <c r="DT15" s="469"/>
      <c r="DU15" s="469"/>
      <c r="DV15" s="469"/>
      <c r="DW15" s="469"/>
      <c r="DX15" s="469"/>
      <c r="DY15" s="469"/>
      <c r="DZ15" s="469"/>
      <c r="EA15" s="469"/>
      <c r="EB15" s="469"/>
      <c r="EC15" s="469"/>
      <c r="ED15" s="469"/>
      <c r="EE15" s="469"/>
      <c r="EF15" s="469"/>
      <c r="EG15" s="469"/>
      <c r="EH15" s="469"/>
      <c r="EI15" s="469"/>
      <c r="EJ15" s="469"/>
      <c r="EK15" s="469"/>
      <c r="EL15" s="469"/>
      <c r="EM15" s="469"/>
      <c r="EN15" s="469"/>
      <c r="EO15" s="469"/>
      <c r="EP15" s="469"/>
      <c r="EQ15" s="469"/>
      <c r="ER15" s="469"/>
      <c r="ES15" s="469"/>
      <c r="ET15" s="469"/>
      <c r="EU15" s="469"/>
      <c r="EV15" s="469"/>
      <c r="EW15" s="469"/>
      <c r="EX15" s="468"/>
      <c r="EY15" s="17"/>
    </row>
    <row r="16" spans="1:155" s="19" customFormat="1" ht="12.6" x14ac:dyDescent="0.25">
      <c r="A16" s="17"/>
      <c r="B16" s="201"/>
      <c r="C16" s="21" t="s">
        <v>60</v>
      </c>
      <c r="E16" s="22">
        <f>SUM(Income!$K11:$V11)</f>
        <v>404.49999999999994</v>
      </c>
      <c r="F16" s="23"/>
      <c r="G16" s="22">
        <f>SUM(Income!$W11:$AH11)</f>
        <v>409.84517857142868</v>
      </c>
      <c r="H16" s="24">
        <f t="shared" si="3"/>
        <v>5.3451785714287325</v>
      </c>
      <c r="I16" s="25">
        <f t="shared" si="4"/>
        <v>1.3214285714286067E-2</v>
      </c>
      <c r="J16" s="26"/>
      <c r="K16" s="22">
        <f>SUM(Income!$AI11:$AT11)</f>
        <v>415.26098985969378</v>
      </c>
      <c r="L16" s="27">
        <f t="shared" si="5"/>
        <v>5.4158112882651039</v>
      </c>
      <c r="M16" s="26">
        <f t="shared" si="6"/>
        <v>1.3214285714285179E-2</v>
      </c>
      <c r="N16" s="23"/>
      <c r="O16" s="22">
        <f>SUM(Income!$AU11:$BF11)</f>
        <v>420.748367225697</v>
      </c>
      <c r="P16" s="27">
        <f t="shared" ref="P16:P17" si="7">O16-K16</f>
        <v>5.4873773660032157</v>
      </c>
      <c r="Q16" s="26">
        <f t="shared" ref="Q16:Q17" si="8">IFERROR(IF(O16/K16-1=-1,"n/a",O16/K16-1),0)</f>
        <v>1.3214285714286067E-2</v>
      </c>
      <c r="R16" s="23"/>
      <c r="S16" s="22">
        <f>SUM(Income!$BG11:$BR11)</f>
        <v>426.30825636403637</v>
      </c>
      <c r="T16" s="27">
        <f t="shared" ref="T16:T17" si="9">S16-O16</f>
        <v>5.559889138339372</v>
      </c>
      <c r="U16" s="26">
        <f t="shared" ref="U16:U17" si="10">IFERROR(IF(S16/O16-1=-1,"n/a",S16/O16-1),0)</f>
        <v>1.3214285714285179E-2</v>
      </c>
      <c r="V16" s="23"/>
      <c r="AZ16" s="17"/>
      <c r="BA16" s="17"/>
      <c r="BB16" s="469" t="s">
        <v>23</v>
      </c>
      <c r="BC16" s="491">
        <v>1</v>
      </c>
      <c r="BD16" s="491">
        <v>-4038.920158919469</v>
      </c>
      <c r="BE16" s="506">
        <f ca="1">BD16/BD15</f>
        <v>-7.6295790868498479</v>
      </c>
      <c r="BF16" s="469" t="s">
        <v>23</v>
      </c>
      <c r="BG16" s="496" t="s">
        <v>61</v>
      </c>
      <c r="BH16" s="497">
        <f>CapEx!F20*(1+BC27)</f>
        <v>0</v>
      </c>
      <c r="BI16" s="497">
        <f ca="1">SLOPE(BE28:BE29,BC28:BC29)</f>
        <v>-0.15881715212548975</v>
      </c>
      <c r="BJ16" s="491">
        <f t="shared" ca="1" si="2"/>
        <v>3</v>
      </c>
      <c r="BK16" s="489" t="s">
        <v>23</v>
      </c>
      <c r="BL16" s="473" t="str">
        <f ca="1">INDEX(Summary!$BG$10:$BG$16,MATCH(BN16,Summary!$BJ$10:$BJ$16,0))</f>
        <v>COGS</v>
      </c>
      <c r="BM16" s="491">
        <f ca="1">INDEX(Summary!$BI$10:$BI$16,MATCH(BN16,Summary!$BJ$10:$BJ$16,0))</f>
        <v>-8.4707619347243579</v>
      </c>
      <c r="BN16" s="491">
        <v>7</v>
      </c>
      <c r="BO16" s="489" t="s">
        <v>23</v>
      </c>
      <c r="BP16" s="490"/>
      <c r="BQ16" s="469"/>
      <c r="BR16" s="470"/>
      <c r="BS16" s="469"/>
      <c r="BT16" s="469"/>
      <c r="BU16" s="469"/>
      <c r="BV16" s="469"/>
      <c r="BW16" s="490"/>
      <c r="BX16" s="489"/>
      <c r="BY16" s="470"/>
      <c r="BZ16" s="469"/>
      <c r="CA16" s="469"/>
      <c r="CB16" s="469"/>
      <c r="CC16" s="469"/>
      <c r="CD16" s="469"/>
      <c r="CE16" s="469"/>
      <c r="CF16" s="490"/>
      <c r="CG16" s="469"/>
      <c r="CH16" s="470"/>
      <c r="CI16" s="469"/>
      <c r="CJ16" s="469"/>
      <c r="CK16" s="469"/>
      <c r="CL16" s="469"/>
      <c r="CM16" s="469"/>
      <c r="CN16" s="469"/>
      <c r="CO16" s="469"/>
      <c r="CP16" s="469"/>
      <c r="CQ16" s="469"/>
      <c r="CR16" s="469"/>
      <c r="CS16" s="469"/>
      <c r="CT16" s="469"/>
      <c r="CU16" s="469"/>
      <c r="CV16" s="469"/>
      <c r="CW16" s="469"/>
      <c r="CX16" s="469"/>
      <c r="CY16" s="469"/>
      <c r="CZ16" s="469"/>
      <c r="DA16" s="469"/>
      <c r="DB16" s="469"/>
      <c r="DC16" s="469"/>
      <c r="DD16" s="469"/>
      <c r="DE16" s="469"/>
      <c r="DF16" s="469"/>
      <c r="DG16" s="469"/>
      <c r="DH16" s="469"/>
      <c r="DI16" s="469"/>
      <c r="DJ16" s="469"/>
      <c r="DK16" s="469"/>
      <c r="DL16" s="469"/>
      <c r="DM16" s="469"/>
      <c r="DN16" s="469"/>
      <c r="DO16" s="469"/>
      <c r="DP16" s="469"/>
      <c r="DQ16" s="469"/>
      <c r="DR16" s="469"/>
      <c r="DS16" s="469"/>
      <c r="DT16" s="469"/>
      <c r="DU16" s="469"/>
      <c r="DV16" s="469"/>
      <c r="DW16" s="469"/>
      <c r="DX16" s="469"/>
      <c r="DY16" s="469"/>
      <c r="DZ16" s="469"/>
      <c r="EA16" s="469"/>
      <c r="EB16" s="469"/>
      <c r="EC16" s="469"/>
      <c r="ED16" s="469"/>
      <c r="EE16" s="469"/>
      <c r="EF16" s="469"/>
      <c r="EG16" s="469"/>
      <c r="EH16" s="469"/>
      <c r="EI16" s="469"/>
      <c r="EJ16" s="469"/>
      <c r="EK16" s="469"/>
      <c r="EL16" s="469"/>
      <c r="EM16" s="469"/>
      <c r="EN16" s="469"/>
      <c r="EO16" s="469"/>
      <c r="EP16" s="469"/>
      <c r="EQ16" s="469"/>
      <c r="ER16" s="469"/>
      <c r="ES16" s="469"/>
      <c r="ET16" s="469"/>
      <c r="EU16" s="469"/>
      <c r="EV16" s="469"/>
      <c r="EW16" s="469"/>
      <c r="EX16" s="468"/>
      <c r="EY16" s="17"/>
    </row>
    <row r="17" spans="1:155" s="19" customFormat="1" ht="12.6" x14ac:dyDescent="0.25">
      <c r="A17" s="17"/>
      <c r="B17" s="201"/>
      <c r="C17" s="21" t="s">
        <v>62</v>
      </c>
      <c r="E17" s="22">
        <f>SUM(Income!$K12:$V12)</f>
        <v>500.00000000000006</v>
      </c>
      <c r="F17" s="23"/>
      <c r="G17" s="22">
        <f>SUM(Income!$W12:$AH12)</f>
        <v>514.10000000000014</v>
      </c>
      <c r="H17" s="24">
        <f t="shared" si="3"/>
        <v>14.10000000000008</v>
      </c>
      <c r="I17" s="25">
        <f t="shared" si="4"/>
        <v>2.8200000000000225E-2</v>
      </c>
      <c r="J17" s="26"/>
      <c r="K17" s="22">
        <f>SUM(Income!$AI12:$AT12)</f>
        <v>528.59762000000001</v>
      </c>
      <c r="L17" s="27">
        <f t="shared" si="5"/>
        <v>14.49761999999987</v>
      </c>
      <c r="M17" s="26">
        <f t="shared" si="6"/>
        <v>2.8199999999999781E-2</v>
      </c>
      <c r="N17" s="23"/>
      <c r="O17" s="22">
        <f>SUM(Income!$AU12:$BF12)</f>
        <v>543.50407288400015</v>
      </c>
      <c r="P17" s="27">
        <f t="shared" si="7"/>
        <v>14.906452884000146</v>
      </c>
      <c r="Q17" s="26">
        <f t="shared" si="8"/>
        <v>2.8200000000000225E-2</v>
      </c>
      <c r="R17" s="23"/>
      <c r="S17" s="22">
        <f>SUM(Income!$BG12:$BR12)</f>
        <v>558.83088773932877</v>
      </c>
      <c r="T17" s="27">
        <f t="shared" si="9"/>
        <v>15.326814855328621</v>
      </c>
      <c r="U17" s="26">
        <f t="shared" si="10"/>
        <v>2.8199999999999559E-2</v>
      </c>
      <c r="V17" s="23"/>
      <c r="AZ17" s="17"/>
      <c r="BA17" s="17"/>
      <c r="BB17" s="469" t="s">
        <v>23</v>
      </c>
      <c r="BC17" s="491">
        <v>2</v>
      </c>
      <c r="BD17" s="491">
        <v>-8523.1427811784233</v>
      </c>
      <c r="BE17" s="506">
        <f ca="1">BD17/BD15</f>
        <v>-16.100341021574206</v>
      </c>
      <c r="BF17" s="469" t="s">
        <v>23</v>
      </c>
      <c r="BG17" s="473" t="s">
        <v>63</v>
      </c>
      <c r="BH17" s="472">
        <f ca="1">(BH11-BH12)*BH10-BH13-BH14-     BH15-BH16</f>
        <v>529.37653741355814</v>
      </c>
      <c r="BI17" s="472"/>
      <c r="BJ17" s="472"/>
      <c r="BK17" s="489" t="s">
        <v>23</v>
      </c>
      <c r="BL17" s="470"/>
      <c r="BM17" s="469"/>
      <c r="BN17" s="469"/>
      <c r="BO17" s="489" t="s">
        <v>23</v>
      </c>
      <c r="BP17" s="490"/>
      <c r="BQ17" s="469"/>
      <c r="BR17" s="470"/>
      <c r="BS17" s="469"/>
      <c r="BT17" s="469"/>
      <c r="BU17" s="469"/>
      <c r="BV17" s="469"/>
      <c r="BW17" s="490"/>
      <c r="BX17" s="489"/>
      <c r="BY17" s="470"/>
      <c r="BZ17" s="469"/>
      <c r="CA17" s="469"/>
      <c r="CB17" s="469"/>
      <c r="CC17" s="469"/>
      <c r="CD17" s="469"/>
      <c r="CE17" s="469"/>
      <c r="CF17" s="490"/>
      <c r="CG17" s="469"/>
      <c r="CH17" s="470"/>
      <c r="CI17" s="469"/>
      <c r="CJ17" s="469"/>
      <c r="CK17" s="469"/>
      <c r="CL17" s="469"/>
      <c r="CM17" s="469"/>
      <c r="CN17" s="469"/>
      <c r="CO17" s="469"/>
      <c r="CP17" s="469"/>
      <c r="CQ17" s="469"/>
      <c r="CR17" s="469"/>
      <c r="CS17" s="469"/>
      <c r="CT17" s="469"/>
      <c r="CU17" s="469"/>
      <c r="CV17" s="469"/>
      <c r="CW17" s="469"/>
      <c r="CX17" s="469"/>
      <c r="CY17" s="469"/>
      <c r="CZ17" s="469"/>
      <c r="DA17" s="469"/>
      <c r="DB17" s="469"/>
      <c r="DC17" s="469"/>
      <c r="DD17" s="469"/>
      <c r="DE17" s="469"/>
      <c r="DF17" s="469"/>
      <c r="DG17" s="469"/>
      <c r="DH17" s="469"/>
      <c r="DI17" s="469"/>
      <c r="DJ17" s="469"/>
      <c r="DK17" s="469"/>
      <c r="DL17" s="469"/>
      <c r="DM17" s="469"/>
      <c r="DN17" s="469"/>
      <c r="DO17" s="469"/>
      <c r="DP17" s="469"/>
      <c r="DQ17" s="469"/>
      <c r="DR17" s="469"/>
      <c r="DS17" s="469"/>
      <c r="DT17" s="469"/>
      <c r="DU17" s="469"/>
      <c r="DV17" s="469"/>
      <c r="DW17" s="469"/>
      <c r="DX17" s="469"/>
      <c r="DY17" s="469"/>
      <c r="DZ17" s="469"/>
      <c r="EA17" s="469"/>
      <c r="EB17" s="469"/>
      <c r="EC17" s="469"/>
      <c r="ED17" s="469"/>
      <c r="EE17" s="469"/>
      <c r="EF17" s="469"/>
      <c r="EG17" s="469"/>
      <c r="EH17" s="469"/>
      <c r="EI17" s="469"/>
      <c r="EJ17" s="469"/>
      <c r="EK17" s="469"/>
      <c r="EL17" s="469"/>
      <c r="EM17" s="469"/>
      <c r="EN17" s="469"/>
      <c r="EO17" s="469"/>
      <c r="EP17" s="469"/>
      <c r="EQ17" s="469"/>
      <c r="ER17" s="469"/>
      <c r="ES17" s="469"/>
      <c r="ET17" s="469"/>
      <c r="EU17" s="469"/>
      <c r="EV17" s="469"/>
      <c r="EW17" s="469"/>
      <c r="EX17" s="468"/>
      <c r="EY17" s="17"/>
    </row>
    <row r="18" spans="1:155" s="19" customFormat="1" ht="12.6" x14ac:dyDescent="0.25">
      <c r="A18" s="17"/>
      <c r="B18" s="201"/>
      <c r="C18" s="21" t="s">
        <v>64</v>
      </c>
      <c r="E18" s="22">
        <f ca="1">SUM(Income!$K24:$V24)</f>
        <v>32.162252299247584</v>
      </c>
      <c r="F18" s="23"/>
      <c r="G18" s="22">
        <f ca="1">SUM(Income!$W24:$AH24)</f>
        <v>15.945357121082841</v>
      </c>
      <c r="H18" s="24">
        <f t="shared" ca="1" si="3"/>
        <v>-16.216895178164741</v>
      </c>
      <c r="I18" s="25">
        <f t="shared" ca="1" si="4"/>
        <v>-0.50422137813228107</v>
      </c>
      <c r="J18" s="26"/>
      <c r="K18" s="22">
        <f ca="1">SUM(Income!$AI24:$AT24)</f>
        <v>14.349999999999996</v>
      </c>
      <c r="L18" s="27">
        <f t="shared" ca="1" si="5"/>
        <v>-1.595357121082845</v>
      </c>
      <c r="M18" s="26">
        <f t="shared" ca="1" si="6"/>
        <v>-0.10005151399045653</v>
      </c>
      <c r="N18" s="23"/>
      <c r="O18" s="22">
        <f ca="1">SUM(Income!$AU24:$BF24)</f>
        <v>14.349999999999996</v>
      </c>
      <c r="P18" s="27">
        <f ca="1">O18-K18</f>
        <v>0</v>
      </c>
      <c r="Q18" s="26">
        <f ca="1">IFERROR(IF(O18/K18-1=-1,"n/a",O18/K18-1),0)</f>
        <v>0</v>
      </c>
      <c r="R18" s="23"/>
      <c r="S18" s="22">
        <f ca="1">SUM(Income!$BG24:$BR24)</f>
        <v>14.349999999999996</v>
      </c>
      <c r="T18" s="27">
        <f ca="1">S18-O18</f>
        <v>0</v>
      </c>
      <c r="U18" s="26">
        <f ca="1">IFERROR(IF(S18/O18-1=-1,"n/a",S18/O18-1),0)</f>
        <v>0</v>
      </c>
      <c r="V18" s="23"/>
      <c r="AZ18" s="17"/>
      <c r="BA18" s="17"/>
      <c r="BB18" s="469" t="s">
        <v>23</v>
      </c>
      <c r="BC18" s="510"/>
      <c r="BD18" s="510">
        <f ca="1">BH17</f>
        <v>529.37653741355814</v>
      </c>
      <c r="BE18" s="511" t="s">
        <v>65</v>
      </c>
      <c r="BF18" s="469" t="s">
        <v>23</v>
      </c>
      <c r="BG18" s="475" t="s">
        <v>17</v>
      </c>
      <c r="BH18" s="513" t="s">
        <v>18</v>
      </c>
      <c r="BI18" s="513" t="s">
        <v>18</v>
      </c>
      <c r="BJ18" s="513" t="s">
        <v>19</v>
      </c>
      <c r="BK18" s="518"/>
      <c r="BL18" s="475" t="s">
        <v>17</v>
      </c>
      <c r="BM18" s="513" t="s">
        <v>18</v>
      </c>
      <c r="BN18" s="513" t="s">
        <v>18</v>
      </c>
      <c r="BO18" s="489"/>
      <c r="BP18" s="473"/>
      <c r="BQ18" s="469"/>
      <c r="BR18" s="470"/>
      <c r="BS18" s="469"/>
      <c r="BT18" s="469"/>
      <c r="BU18" s="469"/>
      <c r="BV18" s="469"/>
      <c r="BW18" s="473"/>
      <c r="BX18" s="472"/>
      <c r="BY18" s="470"/>
      <c r="BZ18" s="469"/>
      <c r="CA18" s="469"/>
      <c r="CB18" s="469"/>
      <c r="CC18" s="469"/>
      <c r="CD18" s="469"/>
      <c r="CE18" s="469"/>
      <c r="CF18" s="473"/>
      <c r="CG18" s="469"/>
      <c r="CH18" s="470"/>
      <c r="CI18" s="469"/>
      <c r="CJ18" s="469"/>
      <c r="CK18" s="469"/>
      <c r="CL18" s="469"/>
      <c r="CM18" s="469"/>
      <c r="CN18" s="469"/>
      <c r="CO18" s="469"/>
      <c r="CP18" s="469"/>
      <c r="CQ18" s="469"/>
      <c r="CR18" s="469"/>
      <c r="CS18" s="469"/>
      <c r="CT18" s="469"/>
      <c r="CU18" s="469"/>
      <c r="CV18" s="469"/>
      <c r="CW18" s="469"/>
      <c r="CX18" s="469"/>
      <c r="CY18" s="469"/>
      <c r="CZ18" s="469"/>
      <c r="DA18" s="469"/>
      <c r="DB18" s="469"/>
      <c r="DC18" s="469"/>
      <c r="DD18" s="469"/>
      <c r="DE18" s="469"/>
      <c r="DF18" s="469"/>
      <c r="DG18" s="469"/>
      <c r="DH18" s="469"/>
      <c r="DI18" s="469"/>
      <c r="DJ18" s="469"/>
      <c r="DK18" s="469"/>
      <c r="DL18" s="469"/>
      <c r="DM18" s="469"/>
      <c r="DN18" s="469"/>
      <c r="DO18" s="469"/>
      <c r="DP18" s="469"/>
      <c r="DQ18" s="469"/>
      <c r="DR18" s="469"/>
      <c r="DS18" s="469"/>
      <c r="DT18" s="469"/>
      <c r="DU18" s="469"/>
      <c r="DV18" s="469"/>
      <c r="DW18" s="469"/>
      <c r="DX18" s="469"/>
      <c r="DY18" s="469"/>
      <c r="DZ18" s="469"/>
      <c r="EA18" s="469"/>
      <c r="EB18" s="469"/>
      <c r="EC18" s="469"/>
      <c r="ED18" s="469"/>
      <c r="EE18" s="469"/>
      <c r="EF18" s="469"/>
      <c r="EG18" s="469"/>
      <c r="EH18" s="469"/>
      <c r="EI18" s="469"/>
      <c r="EJ18" s="469"/>
      <c r="EK18" s="469"/>
      <c r="EL18" s="469"/>
      <c r="EM18" s="469"/>
      <c r="EN18" s="469"/>
      <c r="EO18" s="469"/>
      <c r="EP18" s="469"/>
      <c r="EQ18" s="469"/>
      <c r="ER18" s="469"/>
      <c r="ES18" s="469"/>
      <c r="ET18" s="469"/>
      <c r="EU18" s="469"/>
      <c r="EV18" s="469"/>
      <c r="EW18" s="469"/>
      <c r="EX18" s="468"/>
      <c r="EY18" s="17"/>
    </row>
    <row r="19" spans="1:155" s="19" customFormat="1" ht="12.6" x14ac:dyDescent="0.25">
      <c r="A19" s="17"/>
      <c r="B19" s="201"/>
      <c r="C19" s="21" t="s">
        <v>66</v>
      </c>
      <c r="E19" s="22">
        <f ca="1">SUM(Income!$K26:$V26)</f>
        <v>151.33196041070914</v>
      </c>
      <c r="F19" s="23"/>
      <c r="G19" s="22">
        <f ca="1">SUM(Income!$W26:$AH26)</f>
        <v>308.05870817548504</v>
      </c>
      <c r="H19" s="24">
        <f t="shared" ca="1" si="3"/>
        <v>156.72674776477589</v>
      </c>
      <c r="I19" s="25">
        <f t="shared" ca="1" si="4"/>
        <v>1.0356486979976043</v>
      </c>
      <c r="J19" s="26"/>
      <c r="K19" s="22">
        <f ca="1">SUM(Income!$AI26:$AT26)</f>
        <v>391.36555308885227</v>
      </c>
      <c r="L19" s="27">
        <f t="shared" ca="1" si="5"/>
        <v>83.306844913367229</v>
      </c>
      <c r="M19" s="26">
        <f t="shared" ca="1" si="6"/>
        <v>0.27042522318801532</v>
      </c>
      <c r="N19" s="23"/>
      <c r="O19" s="22">
        <f ca="1">SUM(Income!$AU26:$BF26)</f>
        <v>483.14439086469434</v>
      </c>
      <c r="P19" s="27">
        <f ca="1">O19-K19</f>
        <v>91.778837775842078</v>
      </c>
      <c r="Q19" s="26">
        <f ca="1">IFERROR(IF(O19/K19-1=-1,"n/a",O19/K19-1),0)</f>
        <v>0.23450923836162296</v>
      </c>
      <c r="R19" s="23"/>
      <c r="S19" s="22">
        <f ca="1">SUM(Income!$BG26:$BR26)</f>
        <v>591.31473854114824</v>
      </c>
      <c r="T19" s="27">
        <f ca="1">S19-O19</f>
        <v>108.1703476764539</v>
      </c>
      <c r="U19" s="26">
        <f ca="1">IFERROR(IF(S19/O19-1=-1,"n/a",S19/O19-1),0)</f>
        <v>0.22388824070348612</v>
      </c>
      <c r="V19" s="23"/>
      <c r="AZ19" s="17"/>
      <c r="BA19" s="17"/>
      <c r="BB19" s="469" t="s">
        <v>23</v>
      </c>
      <c r="BC19" s="491">
        <v>1</v>
      </c>
      <c r="BD19" s="491">
        <v>35.457284768055445</v>
      </c>
      <c r="BE19" s="506">
        <f ca="1">BD19/BD18</f>
        <v>6.6979328062580154E-2</v>
      </c>
      <c r="BF19" s="469" t="s">
        <v>23</v>
      </c>
      <c r="BG19" s="470"/>
      <c r="BH19" s="469"/>
      <c r="BI19" s="469"/>
      <c r="BJ19" s="469"/>
      <c r="BK19" s="489"/>
      <c r="BL19" s="473"/>
      <c r="BM19" s="469"/>
      <c r="BN19" s="469"/>
      <c r="BO19" s="469"/>
      <c r="BP19" s="469"/>
      <c r="BQ19" s="469"/>
      <c r="BR19" s="470"/>
      <c r="BS19" s="469"/>
      <c r="BT19" s="469"/>
      <c r="BU19" s="469"/>
      <c r="BV19" s="469"/>
      <c r="BW19" s="469"/>
      <c r="BX19" s="469"/>
      <c r="BY19" s="470"/>
      <c r="BZ19" s="469"/>
      <c r="CA19" s="469"/>
      <c r="CB19" s="469"/>
      <c r="CC19" s="469"/>
      <c r="CD19" s="469"/>
      <c r="CE19" s="469"/>
      <c r="CF19" s="469"/>
      <c r="CG19" s="469"/>
      <c r="CH19" s="470"/>
      <c r="CI19" s="469"/>
      <c r="CJ19" s="469"/>
      <c r="CK19" s="469"/>
      <c r="CL19" s="469"/>
      <c r="CM19" s="469"/>
      <c r="CN19" s="469"/>
      <c r="CO19" s="469"/>
      <c r="CP19" s="469"/>
      <c r="CQ19" s="469"/>
      <c r="CR19" s="469"/>
      <c r="CS19" s="469"/>
      <c r="CT19" s="469"/>
      <c r="CU19" s="469"/>
      <c r="CV19" s="469"/>
      <c r="CW19" s="469"/>
      <c r="CX19" s="469"/>
      <c r="CY19" s="469"/>
      <c r="CZ19" s="469"/>
      <c r="DA19" s="469"/>
      <c r="DB19" s="469"/>
      <c r="DC19" s="469"/>
      <c r="DD19" s="469"/>
      <c r="DE19" s="469"/>
      <c r="DF19" s="469"/>
      <c r="DG19" s="469"/>
      <c r="DH19" s="469"/>
      <c r="DI19" s="469"/>
      <c r="DJ19" s="469"/>
      <c r="DK19" s="469"/>
      <c r="DL19" s="469"/>
      <c r="DM19" s="469"/>
      <c r="DN19" s="469"/>
      <c r="DO19" s="469"/>
      <c r="DP19" s="469"/>
      <c r="DQ19" s="469"/>
      <c r="DR19" s="469"/>
      <c r="DS19" s="469"/>
      <c r="DT19" s="469"/>
      <c r="DU19" s="469"/>
      <c r="DV19" s="469"/>
      <c r="DW19" s="469"/>
      <c r="DX19" s="469"/>
      <c r="DY19" s="469"/>
      <c r="DZ19" s="469"/>
      <c r="EA19" s="469"/>
      <c r="EB19" s="469"/>
      <c r="EC19" s="469"/>
      <c r="ED19" s="469"/>
      <c r="EE19" s="469"/>
      <c r="EF19" s="469"/>
      <c r="EG19" s="469"/>
      <c r="EH19" s="469"/>
      <c r="EI19" s="469"/>
      <c r="EJ19" s="469"/>
      <c r="EK19" s="469"/>
      <c r="EL19" s="469"/>
      <c r="EM19" s="469"/>
      <c r="EN19" s="469"/>
      <c r="EO19" s="469"/>
      <c r="EP19" s="469"/>
      <c r="EQ19" s="469"/>
      <c r="ER19" s="469"/>
      <c r="ES19" s="469"/>
      <c r="ET19" s="469"/>
      <c r="EU19" s="469"/>
      <c r="EV19" s="469"/>
      <c r="EW19" s="469"/>
      <c r="EX19" s="468"/>
      <c r="EY19" s="17"/>
    </row>
    <row r="20" spans="1:155" s="19" customFormat="1" ht="12.6" x14ac:dyDescent="0.25">
      <c r="A20" s="17"/>
      <c r="B20" s="201"/>
      <c r="C20" s="18" t="s">
        <v>67</v>
      </c>
      <c r="H20" s="28"/>
      <c r="I20" s="28"/>
      <c r="J20" s="20"/>
      <c r="L20" s="20"/>
      <c r="M20" s="20"/>
      <c r="P20" s="20"/>
      <c r="Q20" s="20"/>
      <c r="T20" s="20"/>
      <c r="U20" s="20"/>
      <c r="AZ20" s="17"/>
      <c r="BA20" s="17"/>
      <c r="BB20" s="469" t="s">
        <v>23</v>
      </c>
      <c r="BC20" s="491">
        <v>2</v>
      </c>
      <c r="BD20" s="491">
        <v>-374.38789380337317</v>
      </c>
      <c r="BE20" s="506">
        <f ca="1">BD20/BD18</f>
        <v>-0.70722419174934992</v>
      </c>
      <c r="BF20" s="469" t="s">
        <v>23</v>
      </c>
      <c r="BG20" s="470"/>
      <c r="BH20" s="469"/>
      <c r="BI20" s="469"/>
      <c r="BJ20" s="469"/>
      <c r="BK20" s="489"/>
      <c r="BL20" s="470"/>
      <c r="BM20" s="469"/>
      <c r="BN20" s="469"/>
      <c r="BO20" s="469"/>
      <c r="BP20" s="469"/>
      <c r="BQ20" s="469"/>
      <c r="BR20" s="470"/>
      <c r="BS20" s="469"/>
      <c r="BT20" s="469"/>
      <c r="BU20" s="469"/>
      <c r="BV20" s="469"/>
      <c r="BW20" s="469"/>
      <c r="BX20" s="469"/>
      <c r="BY20" s="470"/>
      <c r="BZ20" s="469"/>
      <c r="CA20" s="469"/>
      <c r="CB20" s="469"/>
      <c r="CC20" s="469"/>
      <c r="CD20" s="469"/>
      <c r="CE20" s="469"/>
      <c r="CF20" s="469"/>
      <c r="CG20" s="469"/>
      <c r="CH20" s="470"/>
      <c r="CI20" s="469"/>
      <c r="CJ20" s="469"/>
      <c r="CK20" s="469"/>
      <c r="CL20" s="469"/>
      <c r="CM20" s="469"/>
      <c r="CN20" s="469"/>
      <c r="CO20" s="469"/>
      <c r="CP20" s="469"/>
      <c r="CQ20" s="469"/>
      <c r="CR20" s="469"/>
      <c r="CS20" s="469"/>
      <c r="CT20" s="469"/>
      <c r="CU20" s="469"/>
      <c r="CV20" s="469"/>
      <c r="CW20" s="469"/>
      <c r="CX20" s="469"/>
      <c r="CY20" s="469"/>
      <c r="CZ20" s="469"/>
      <c r="DA20" s="469"/>
      <c r="DB20" s="469"/>
      <c r="DC20" s="469"/>
      <c r="DD20" s="469"/>
      <c r="DE20" s="469"/>
      <c r="DF20" s="469"/>
      <c r="DG20" s="469"/>
      <c r="DH20" s="469"/>
      <c r="DI20" s="469"/>
      <c r="DJ20" s="469"/>
      <c r="DK20" s="469"/>
      <c r="DL20" s="469"/>
      <c r="DM20" s="469"/>
      <c r="DN20" s="469"/>
      <c r="DO20" s="469"/>
      <c r="DP20" s="469"/>
      <c r="DQ20" s="469"/>
      <c r="DR20" s="469"/>
      <c r="DS20" s="469"/>
      <c r="DT20" s="469"/>
      <c r="DU20" s="469"/>
      <c r="DV20" s="469"/>
      <c r="DW20" s="469"/>
      <c r="DX20" s="469"/>
      <c r="DY20" s="469"/>
      <c r="DZ20" s="469"/>
      <c r="EA20" s="469"/>
      <c r="EB20" s="469"/>
      <c r="EC20" s="469"/>
      <c r="ED20" s="469"/>
      <c r="EE20" s="469"/>
      <c r="EF20" s="469"/>
      <c r="EG20" s="469"/>
      <c r="EH20" s="469"/>
      <c r="EI20" s="469"/>
      <c r="EJ20" s="469"/>
      <c r="EK20" s="469"/>
      <c r="EL20" s="469"/>
      <c r="EM20" s="469"/>
      <c r="EN20" s="469"/>
      <c r="EO20" s="469"/>
      <c r="EP20" s="469"/>
      <c r="EQ20" s="469"/>
      <c r="ER20" s="469"/>
      <c r="ES20" s="469"/>
      <c r="ET20" s="469"/>
      <c r="EU20" s="469"/>
      <c r="EV20" s="469"/>
      <c r="EW20" s="469"/>
      <c r="EX20" s="468"/>
      <c r="EY20" s="17"/>
    </row>
    <row r="21" spans="1:155" s="19" customFormat="1" ht="12.6" x14ac:dyDescent="0.25">
      <c r="A21" s="17"/>
      <c r="B21" s="201"/>
      <c r="C21" s="21" t="s">
        <v>68</v>
      </c>
      <c r="E21" s="22">
        <f ca="1">Balance!$V20</f>
        <v>1125.1343625525999</v>
      </c>
      <c r="F21" s="23"/>
      <c r="G21" s="22">
        <f ca="1">Balance!$AH20</f>
        <v>1422.1149465398018</v>
      </c>
      <c r="H21" s="24">
        <f ca="1">G21-E21</f>
        <v>296.98058398720195</v>
      </c>
      <c r="I21" s="25">
        <f ca="1">IFERROR(IF(G21/E21-1=-1,"n/a",G21/E21-1),0)</f>
        <v>0.26395121673596389</v>
      </c>
      <c r="J21" s="26"/>
      <c r="K21" s="22">
        <f ca="1">Balance!$AT20</f>
        <v>1865.7421287511725</v>
      </c>
      <c r="L21" s="27">
        <f ca="1">K21-G21</f>
        <v>443.62718221137061</v>
      </c>
      <c r="M21" s="26">
        <f ca="1">IFERROR(IF(K21/G21-1=-1,"n/a",K21/G21-1),0)</f>
        <v>0.31194889224023381</v>
      </c>
      <c r="N21" s="23"/>
      <c r="O21" s="22">
        <f ca="1">Balance!$BF20</f>
        <v>2405.3888893958074</v>
      </c>
      <c r="P21" s="27">
        <f ca="1">O21-K21</f>
        <v>539.64676064463492</v>
      </c>
      <c r="Q21" s="26">
        <f ca="1">IFERROR(IF(O21/K21-1=-1,"n/a",O21/K21-1),0)</f>
        <v>0.28923973593598684</v>
      </c>
      <c r="R21" s="23"/>
      <c r="S21" s="22">
        <f ca="1">Balance!$BR20</f>
        <v>3057.7908509024855</v>
      </c>
      <c r="T21" s="27">
        <f ca="1">S21-O21</f>
        <v>652.40196150667816</v>
      </c>
      <c r="U21" s="26">
        <f ca="1">IFERROR(IF(S21/O21-1=-1,"n/a",S21/O21-1),0)</f>
        <v>0.27122514965575917</v>
      </c>
      <c r="V21" s="23"/>
      <c r="AZ21" s="17"/>
      <c r="BA21" s="17"/>
      <c r="BB21" s="469" t="s">
        <v>23</v>
      </c>
      <c r="BC21" s="497"/>
      <c r="BD21" s="494">
        <f ca="1">BH17</f>
        <v>529.37653741355814</v>
      </c>
      <c r="BE21" s="495" t="s">
        <v>69</v>
      </c>
      <c r="BF21" s="469" t="s">
        <v>23</v>
      </c>
      <c r="BG21" s="470"/>
      <c r="BH21" s="469"/>
      <c r="BI21" s="469"/>
      <c r="BJ21" s="469"/>
      <c r="BK21" s="489"/>
      <c r="BL21" s="470"/>
      <c r="BM21" s="469"/>
      <c r="BN21" s="469"/>
      <c r="BO21" s="469"/>
      <c r="BP21" s="469"/>
      <c r="BQ21" s="469"/>
      <c r="BR21" s="470"/>
      <c r="BS21" s="469"/>
      <c r="BT21" s="469"/>
      <c r="BU21" s="469"/>
      <c r="BV21" s="469"/>
      <c r="BW21" s="469"/>
      <c r="BX21" s="469"/>
      <c r="BY21" s="470"/>
      <c r="BZ21" s="469"/>
      <c r="CA21" s="469"/>
      <c r="CB21" s="469"/>
      <c r="CC21" s="469"/>
      <c r="CD21" s="469"/>
      <c r="CE21" s="469"/>
      <c r="CF21" s="469"/>
      <c r="CG21" s="469"/>
      <c r="CH21" s="470"/>
      <c r="CI21" s="469"/>
      <c r="CJ21" s="469"/>
      <c r="CK21" s="469"/>
      <c r="CL21" s="469"/>
      <c r="CM21" s="469"/>
      <c r="CN21" s="469"/>
      <c r="CO21" s="469"/>
      <c r="CP21" s="469"/>
      <c r="CQ21" s="469"/>
      <c r="CR21" s="469"/>
      <c r="CS21" s="469"/>
      <c r="CT21" s="469"/>
      <c r="CU21" s="469"/>
      <c r="CV21" s="469"/>
      <c r="CW21" s="469"/>
      <c r="CX21" s="469"/>
      <c r="CY21" s="469"/>
      <c r="CZ21" s="469"/>
      <c r="DA21" s="469"/>
      <c r="DB21" s="469"/>
      <c r="DC21" s="469"/>
      <c r="DD21" s="469"/>
      <c r="DE21" s="469"/>
      <c r="DF21" s="469"/>
      <c r="DG21" s="469"/>
      <c r="DH21" s="469"/>
      <c r="DI21" s="469"/>
      <c r="DJ21" s="469"/>
      <c r="DK21" s="469"/>
      <c r="DL21" s="469"/>
      <c r="DM21" s="469"/>
      <c r="DN21" s="469"/>
      <c r="DO21" s="469"/>
      <c r="DP21" s="469"/>
      <c r="DQ21" s="469"/>
      <c r="DR21" s="469"/>
      <c r="DS21" s="469"/>
      <c r="DT21" s="469"/>
      <c r="DU21" s="469"/>
      <c r="DV21" s="469"/>
      <c r="DW21" s="469"/>
      <c r="DX21" s="469"/>
      <c r="DY21" s="469"/>
      <c r="DZ21" s="469"/>
      <c r="EA21" s="469"/>
      <c r="EB21" s="469"/>
      <c r="EC21" s="469"/>
      <c r="ED21" s="469"/>
      <c r="EE21" s="469"/>
      <c r="EF21" s="469"/>
      <c r="EG21" s="469"/>
      <c r="EH21" s="469"/>
      <c r="EI21" s="469"/>
      <c r="EJ21" s="469"/>
      <c r="EK21" s="469"/>
      <c r="EL21" s="469"/>
      <c r="EM21" s="469"/>
      <c r="EN21" s="469"/>
      <c r="EO21" s="469"/>
      <c r="EP21" s="469"/>
      <c r="EQ21" s="469"/>
      <c r="ER21" s="469"/>
      <c r="ES21" s="469"/>
      <c r="ET21" s="469"/>
      <c r="EU21" s="469"/>
      <c r="EV21" s="469"/>
      <c r="EW21" s="469"/>
      <c r="EX21" s="468"/>
      <c r="EY21" s="17"/>
    </row>
    <row r="22" spans="1:155" s="19" customFormat="1" ht="12.6" x14ac:dyDescent="0.25">
      <c r="A22" s="17"/>
      <c r="B22" s="201"/>
      <c r="C22" s="21" t="s">
        <v>70</v>
      </c>
      <c r="E22" s="22">
        <f ca="1">Balance!$V26</f>
        <v>897.20722254439693</v>
      </c>
      <c r="F22" s="23"/>
      <c r="G22" s="22">
        <f ca="1">Balance!$AH26</f>
        <v>834.05680497345634</v>
      </c>
      <c r="H22" s="24">
        <f ca="1">G22-E22</f>
        <v>-63.15041757094059</v>
      </c>
      <c r="I22" s="25">
        <f ca="1">IFERROR(IF(G22/E22-1=-1,"n/a",G22/E22-1),0)</f>
        <v>-7.038554303191169E-2</v>
      </c>
      <c r="J22" s="26"/>
      <c r="K22" s="22">
        <f ca="1">Balance!$AT26</f>
        <v>886.31843409597468</v>
      </c>
      <c r="L22" s="27">
        <f ca="1">K22-G22</f>
        <v>52.261629122518343</v>
      </c>
      <c r="M22" s="26">
        <f ca="1">IFERROR(IF(K22/G22-1=-1,"n/a",K22/G22-1),0)</f>
        <v>6.2659556052877763E-2</v>
      </c>
      <c r="N22" s="23"/>
      <c r="O22" s="22">
        <f ca="1">Balance!$BF26</f>
        <v>942.82080387591486</v>
      </c>
      <c r="P22" s="27">
        <f ca="1">O22-K22</f>
        <v>56.502369779940182</v>
      </c>
      <c r="Q22" s="26">
        <f ca="1">IFERROR(IF(O22/K22-1=-1,"n/a",O22/K22-1),0)</f>
        <v>6.3749514402880791E-2</v>
      </c>
      <c r="R22" s="23"/>
      <c r="S22" s="22">
        <f ca="1">Balance!$BR26</f>
        <v>1003.9080268414435</v>
      </c>
      <c r="T22" s="27">
        <f ca="1">S22-O22</f>
        <v>61.087222965528667</v>
      </c>
      <c r="U22" s="26">
        <f ca="1">IFERROR(IF(S22/O22-1=-1,"n/a",S22/O22-1),0)</f>
        <v>6.4791976072654078E-2</v>
      </c>
      <c r="V22" s="23"/>
      <c r="AZ22" s="17"/>
      <c r="BA22" s="17"/>
      <c r="BB22" s="469" t="s">
        <v>23</v>
      </c>
      <c r="BC22" s="491">
        <v>1</v>
      </c>
      <c r="BD22" s="491">
        <v>-68.797536660515959</v>
      </c>
      <c r="BE22" s="506">
        <f ca="1">BD22/BD21</f>
        <v>-0.12995955014676092</v>
      </c>
      <c r="BF22" s="469" t="s">
        <v>23</v>
      </c>
      <c r="BG22" s="470"/>
      <c r="BH22" s="469"/>
      <c r="BI22" s="469"/>
      <c r="BJ22" s="469"/>
      <c r="BK22" s="489"/>
      <c r="BL22" s="470"/>
      <c r="BM22" s="469"/>
      <c r="BN22" s="469"/>
      <c r="BO22" s="469"/>
      <c r="BP22" s="469"/>
      <c r="BQ22" s="469"/>
      <c r="BR22" s="470"/>
      <c r="BS22" s="469"/>
      <c r="BT22" s="469"/>
      <c r="BU22" s="469"/>
      <c r="BV22" s="469"/>
      <c r="BW22" s="469"/>
      <c r="BX22" s="469"/>
      <c r="BY22" s="470"/>
      <c r="BZ22" s="469"/>
      <c r="CA22" s="469"/>
      <c r="CB22" s="469"/>
      <c r="CC22" s="469"/>
      <c r="CD22" s="469"/>
      <c r="CE22" s="469"/>
      <c r="CF22" s="469"/>
      <c r="CG22" s="469"/>
      <c r="CH22" s="470"/>
      <c r="CI22" s="469"/>
      <c r="CJ22" s="469"/>
      <c r="CK22" s="469"/>
      <c r="CL22" s="469"/>
      <c r="CM22" s="469"/>
      <c r="CN22" s="469"/>
      <c r="CO22" s="469"/>
      <c r="CP22" s="469"/>
      <c r="CQ22" s="469"/>
      <c r="CR22" s="469"/>
      <c r="CS22" s="469"/>
      <c r="CT22" s="469"/>
      <c r="CU22" s="469"/>
      <c r="CV22" s="469"/>
      <c r="CW22" s="469"/>
      <c r="CX22" s="469"/>
      <c r="CY22" s="469"/>
      <c r="CZ22" s="469"/>
      <c r="DA22" s="469"/>
      <c r="DB22" s="469"/>
      <c r="DC22" s="469"/>
      <c r="DD22" s="469"/>
      <c r="DE22" s="469"/>
      <c r="DF22" s="469"/>
      <c r="DG22" s="469"/>
      <c r="DH22" s="469"/>
      <c r="DI22" s="469"/>
      <c r="DJ22" s="469"/>
      <c r="DK22" s="469"/>
      <c r="DL22" s="469"/>
      <c r="DM22" s="469"/>
      <c r="DN22" s="469"/>
      <c r="DO22" s="469"/>
      <c r="DP22" s="469"/>
      <c r="DQ22" s="469"/>
      <c r="DR22" s="469"/>
      <c r="DS22" s="469"/>
      <c r="DT22" s="469"/>
      <c r="DU22" s="469"/>
      <c r="DV22" s="469"/>
      <c r="DW22" s="469"/>
      <c r="DX22" s="469"/>
      <c r="DY22" s="469"/>
      <c r="DZ22" s="469"/>
      <c r="EA22" s="469"/>
      <c r="EB22" s="469"/>
      <c r="EC22" s="469"/>
      <c r="ED22" s="469"/>
      <c r="EE22" s="469"/>
      <c r="EF22" s="469"/>
      <c r="EG22" s="469"/>
      <c r="EH22" s="469"/>
      <c r="EI22" s="469"/>
      <c r="EJ22" s="469"/>
      <c r="EK22" s="469"/>
      <c r="EL22" s="469"/>
      <c r="EM22" s="469"/>
      <c r="EN22" s="469"/>
      <c r="EO22" s="469"/>
      <c r="EP22" s="469"/>
      <c r="EQ22" s="469"/>
      <c r="ER22" s="469"/>
      <c r="ES22" s="469"/>
      <c r="ET22" s="469"/>
      <c r="EU22" s="469"/>
      <c r="EV22" s="469"/>
      <c r="EW22" s="469"/>
      <c r="EX22" s="468"/>
      <c r="EY22" s="17"/>
    </row>
    <row r="23" spans="1:155" s="19" customFormat="1" ht="12.6" x14ac:dyDescent="0.25">
      <c r="A23" s="17"/>
      <c r="B23" s="175"/>
      <c r="C23" s="21" t="s">
        <v>71</v>
      </c>
      <c r="E23" s="22">
        <f ca="1">Balance!$V30</f>
        <v>227.92714000820303</v>
      </c>
      <c r="F23" s="23"/>
      <c r="G23" s="22">
        <f ca="1">Balance!$AH30</f>
        <v>588.05814156634517</v>
      </c>
      <c r="H23" s="24">
        <f ca="1">G23-E23</f>
        <v>360.13100155814215</v>
      </c>
      <c r="I23" s="25">
        <f ca="1">IFERROR(IF(G23/E23-1=-1,"n/a",G23/E23-1),0)</f>
        <v>1.5800268522001422</v>
      </c>
      <c r="J23" s="26"/>
      <c r="K23" s="22">
        <f ca="1">Balance!$AT30</f>
        <v>979.42369465519744</v>
      </c>
      <c r="L23" s="27">
        <f ca="1">K23-G23</f>
        <v>391.36555308885227</v>
      </c>
      <c r="M23" s="26">
        <f ca="1">IFERROR(IF(K23/G23-1=-1,"n/a",K23/G23-1),0)</f>
        <v>0.66552186837582972</v>
      </c>
      <c r="N23" s="23"/>
      <c r="O23" s="22">
        <f ca="1">Balance!$BF30</f>
        <v>1462.5680855198918</v>
      </c>
      <c r="P23" s="27">
        <f ca="1">O23-K23</f>
        <v>483.1443908646944</v>
      </c>
      <c r="Q23" s="26">
        <f ca="1">IFERROR(IF(O23/K23-1=-1,"n/a",O23/K23-1),0)</f>
        <v>0.49329457057375325</v>
      </c>
      <c r="R23" s="23"/>
      <c r="S23" s="22">
        <f ca="1">Balance!$BR30</f>
        <v>2053.8828240610401</v>
      </c>
      <c r="T23" s="27">
        <f ca="1">S23-O23</f>
        <v>591.31473854114824</v>
      </c>
      <c r="U23" s="26">
        <f ca="1">IFERROR(IF(S23/O23-1=-1,"n/a",S23/O23-1),0)</f>
        <v>0.40429894812791334</v>
      </c>
      <c r="V23" s="23"/>
      <c r="AZ23" s="17"/>
      <c r="BA23" s="17"/>
      <c r="BB23" s="469" t="s">
        <v>23</v>
      </c>
      <c r="BC23" s="491">
        <v>2</v>
      </c>
      <c r="BD23" s="491">
        <v>-582.89753666051615</v>
      </c>
      <c r="BE23" s="506">
        <f ca="1">BD23/BD21</f>
        <v>-1.1011019481680324</v>
      </c>
      <c r="BF23" s="469" t="s">
        <v>23</v>
      </c>
      <c r="BG23" s="470"/>
      <c r="BH23" s="469"/>
      <c r="BI23" s="469"/>
      <c r="BJ23" s="469"/>
      <c r="BK23" s="489"/>
      <c r="BL23" s="470"/>
      <c r="BM23" s="469"/>
      <c r="BN23" s="469"/>
      <c r="BO23" s="469"/>
      <c r="BP23" s="469"/>
      <c r="BQ23" s="469"/>
      <c r="BR23" s="470"/>
      <c r="BS23" s="469"/>
      <c r="BT23" s="469"/>
      <c r="BU23" s="469"/>
      <c r="BV23" s="469"/>
      <c r="BW23" s="469"/>
      <c r="BX23" s="469"/>
      <c r="BY23" s="470"/>
      <c r="BZ23" s="469"/>
      <c r="CA23" s="469"/>
      <c r="CB23" s="469"/>
      <c r="CC23" s="469"/>
      <c r="CD23" s="469"/>
      <c r="CE23" s="469"/>
      <c r="CF23" s="469"/>
      <c r="CG23" s="469"/>
      <c r="CH23" s="470"/>
      <c r="CI23" s="469"/>
      <c r="CJ23" s="469"/>
      <c r="CK23" s="469"/>
      <c r="CL23" s="469"/>
      <c r="CM23" s="469"/>
      <c r="CN23" s="469"/>
      <c r="CO23" s="469"/>
      <c r="CP23" s="469"/>
      <c r="CQ23" s="469"/>
      <c r="CR23" s="469"/>
      <c r="CS23" s="469"/>
      <c r="CT23" s="469"/>
      <c r="CU23" s="469"/>
      <c r="CV23" s="469"/>
      <c r="CW23" s="469"/>
      <c r="CX23" s="469"/>
      <c r="CY23" s="469"/>
      <c r="CZ23" s="469"/>
      <c r="DA23" s="469"/>
      <c r="DB23" s="469"/>
      <c r="DC23" s="469"/>
      <c r="DD23" s="469"/>
      <c r="DE23" s="469"/>
      <c r="DF23" s="469"/>
      <c r="DG23" s="469"/>
      <c r="DH23" s="469"/>
      <c r="DI23" s="469"/>
      <c r="DJ23" s="469"/>
      <c r="DK23" s="469"/>
      <c r="DL23" s="469"/>
      <c r="DM23" s="469"/>
      <c r="DN23" s="469"/>
      <c r="DO23" s="469"/>
      <c r="DP23" s="469"/>
      <c r="DQ23" s="469"/>
      <c r="DR23" s="469"/>
      <c r="DS23" s="469"/>
      <c r="DT23" s="469"/>
      <c r="DU23" s="469"/>
      <c r="DV23" s="469"/>
      <c r="DW23" s="469"/>
      <c r="DX23" s="469"/>
      <c r="DY23" s="469"/>
      <c r="DZ23" s="469"/>
      <c r="EA23" s="469"/>
      <c r="EB23" s="469"/>
      <c r="EC23" s="469"/>
      <c r="ED23" s="469"/>
      <c r="EE23" s="469"/>
      <c r="EF23" s="469"/>
      <c r="EG23" s="469"/>
      <c r="EH23" s="469"/>
      <c r="EI23" s="469"/>
      <c r="EJ23" s="469"/>
      <c r="EK23" s="469"/>
      <c r="EL23" s="469"/>
      <c r="EM23" s="469"/>
      <c r="EN23" s="469"/>
      <c r="EO23" s="469"/>
      <c r="EP23" s="469"/>
      <c r="EQ23" s="469"/>
      <c r="ER23" s="469"/>
      <c r="ES23" s="469"/>
      <c r="ET23" s="469"/>
      <c r="EU23" s="469"/>
      <c r="EV23" s="469"/>
      <c r="EW23" s="469"/>
      <c r="EX23" s="468"/>
      <c r="EY23" s="17"/>
    </row>
    <row r="24" spans="1:155" s="19" customFormat="1" ht="12.6" x14ac:dyDescent="0.25">
      <c r="A24" s="17"/>
      <c r="B24" s="201"/>
      <c r="C24" s="18" t="s">
        <v>72</v>
      </c>
      <c r="H24" s="28"/>
      <c r="I24" s="28"/>
      <c r="J24" s="20"/>
      <c r="L24" s="20"/>
      <c r="M24" s="20"/>
      <c r="P24" s="20"/>
      <c r="Q24" s="20"/>
      <c r="T24" s="20"/>
      <c r="U24" s="20"/>
      <c r="AZ24" s="17"/>
      <c r="BA24" s="17"/>
      <c r="BB24" s="469" t="s">
        <v>23</v>
      </c>
      <c r="BC24" s="497"/>
      <c r="BD24" s="494">
        <f ca="1">BH17</f>
        <v>529.37653741355814</v>
      </c>
      <c r="BE24" s="495" t="s">
        <v>73</v>
      </c>
      <c r="BF24" s="469" t="s">
        <v>23</v>
      </c>
      <c r="BG24" s="470"/>
      <c r="BH24" s="469"/>
      <c r="BI24" s="469"/>
      <c r="BJ24" s="469"/>
      <c r="BK24" s="489"/>
      <c r="BL24" s="470"/>
      <c r="BM24" s="469"/>
      <c r="BN24" s="469"/>
      <c r="BO24" s="469"/>
      <c r="BP24" s="469"/>
      <c r="BQ24" s="469"/>
      <c r="BR24" s="470"/>
      <c r="BS24" s="469"/>
      <c r="BT24" s="469"/>
      <c r="BU24" s="469"/>
      <c r="BV24" s="469"/>
      <c r="BW24" s="469"/>
      <c r="BX24" s="469"/>
      <c r="BY24" s="470"/>
      <c r="BZ24" s="469"/>
      <c r="CA24" s="469"/>
      <c r="CB24" s="469"/>
      <c r="CC24" s="469"/>
      <c r="CD24" s="469"/>
      <c r="CE24" s="469"/>
      <c r="CF24" s="469"/>
      <c r="CG24" s="469"/>
      <c r="CH24" s="470"/>
      <c r="CI24" s="469"/>
      <c r="CJ24" s="469"/>
      <c r="CK24" s="469"/>
      <c r="CL24" s="469"/>
      <c r="CM24" s="469"/>
      <c r="CN24" s="469"/>
      <c r="CO24" s="469"/>
      <c r="CP24" s="469"/>
      <c r="CQ24" s="469"/>
      <c r="CR24" s="469"/>
      <c r="CS24" s="469"/>
      <c r="CT24" s="469"/>
      <c r="CU24" s="469"/>
      <c r="CV24" s="469"/>
      <c r="CW24" s="469"/>
      <c r="CX24" s="469"/>
      <c r="CY24" s="469"/>
      <c r="CZ24" s="469"/>
      <c r="DA24" s="469"/>
      <c r="DB24" s="469"/>
      <c r="DC24" s="469"/>
      <c r="DD24" s="469"/>
      <c r="DE24" s="469"/>
      <c r="DF24" s="469"/>
      <c r="DG24" s="469"/>
      <c r="DH24" s="469"/>
      <c r="DI24" s="469"/>
      <c r="DJ24" s="469"/>
      <c r="DK24" s="469"/>
      <c r="DL24" s="469"/>
      <c r="DM24" s="469"/>
      <c r="DN24" s="469"/>
      <c r="DO24" s="469"/>
      <c r="DP24" s="469"/>
      <c r="DQ24" s="469"/>
      <c r="DR24" s="469"/>
      <c r="DS24" s="469"/>
      <c r="DT24" s="469"/>
      <c r="DU24" s="469"/>
      <c r="DV24" s="469"/>
      <c r="DW24" s="469"/>
      <c r="DX24" s="469"/>
      <c r="DY24" s="469"/>
      <c r="DZ24" s="469"/>
      <c r="EA24" s="469"/>
      <c r="EB24" s="469"/>
      <c r="EC24" s="469"/>
      <c r="ED24" s="469"/>
      <c r="EE24" s="469"/>
      <c r="EF24" s="469"/>
      <c r="EG24" s="469"/>
      <c r="EH24" s="469"/>
      <c r="EI24" s="469"/>
      <c r="EJ24" s="469"/>
      <c r="EK24" s="469"/>
      <c r="EL24" s="469"/>
      <c r="EM24" s="469"/>
      <c r="EN24" s="469"/>
      <c r="EO24" s="469"/>
      <c r="EP24" s="469"/>
      <c r="EQ24" s="469"/>
      <c r="ER24" s="469"/>
      <c r="ES24" s="469"/>
      <c r="ET24" s="469"/>
      <c r="EU24" s="469"/>
      <c r="EV24" s="469"/>
      <c r="EW24" s="469"/>
      <c r="EX24" s="468"/>
      <c r="EY24" s="17"/>
    </row>
    <row r="25" spans="1:155" s="19" customFormat="1" ht="12.6" x14ac:dyDescent="0.25">
      <c r="A25" s="17"/>
      <c r="B25" s="201"/>
      <c r="C25" s="21" t="s">
        <v>74</v>
      </c>
      <c r="E25" s="22">
        <f ca="1">SUM(Cash!$K14:$V14)</f>
        <v>93.915228931829915</v>
      </c>
      <c r="F25" s="23"/>
      <c r="G25" s="22">
        <f ca="1">SUM(Cash!$W14:$AH14)</f>
        <v>288.89157769526003</v>
      </c>
      <c r="H25" s="24">
        <f ca="1">G25-E25</f>
        <v>194.97634876343011</v>
      </c>
      <c r="I25" s="25">
        <f ca="1">IFERROR(IF(G25/E25-1=-1,"n/a",G25/E25-1),0)</f>
        <v>2.0760887342877825</v>
      </c>
      <c r="J25" s="26"/>
      <c r="K25" s="22">
        <f ca="1">SUM(Cash!$AI14:$AT14)</f>
        <v>370.23871403017841</v>
      </c>
      <c r="L25" s="27">
        <f ca="1">K25-G25</f>
        <v>81.347136334918389</v>
      </c>
      <c r="M25" s="26">
        <f ca="1">IFERROR(IF(K25/G25-1=-1,"n/a",K25/G25-1),0)</f>
        <v>0.28158362034606688</v>
      </c>
      <c r="N25" s="23"/>
      <c r="O25" s="22">
        <f ca="1">SUM(Cash!$AU14:$BF14)</f>
        <v>459.86333656419919</v>
      </c>
      <c r="P25" s="27">
        <f ca="1">O25-K25</f>
        <v>89.624622534020773</v>
      </c>
      <c r="Q25" s="26">
        <f ca="1">IFERROR(IF(O25/K25-1=-1,"n/a",O25/K25-1),0)</f>
        <v>0.24207253087724201</v>
      </c>
      <c r="R25" s="23"/>
      <c r="S25" s="22">
        <f ca="1">SUM(Cash!$BG14:$BR14)</f>
        <v>555.66606512073849</v>
      </c>
      <c r="T25" s="27">
        <f ca="1">S25-O25</f>
        <v>95.802728556539307</v>
      </c>
      <c r="U25" s="26">
        <f ca="1">IFERROR(IF(S25/O25-1=-1,"n/a",S25/O25-1),0)</f>
        <v>0.20832869450370883</v>
      </c>
      <c r="V25" s="23"/>
      <c r="AZ25" s="17"/>
      <c r="BA25" s="17"/>
      <c r="BB25" s="469" t="s">
        <v>23</v>
      </c>
      <c r="BC25" s="491">
        <v>1</v>
      </c>
      <c r="BD25" s="491">
        <v>324.12808908960773</v>
      </c>
      <c r="BE25" s="519">
        <f ca="1">BD25/BD24</f>
        <v>0.61228268761823357</v>
      </c>
      <c r="BF25" s="469" t="s">
        <v>23</v>
      </c>
      <c r="BG25" s="470"/>
      <c r="BH25" s="469"/>
      <c r="BI25" s="472"/>
      <c r="BJ25" s="469"/>
      <c r="BK25" s="469"/>
      <c r="BL25" s="470"/>
      <c r="BM25" s="469"/>
      <c r="BN25" s="469"/>
      <c r="BO25" s="469"/>
      <c r="BP25" s="469"/>
      <c r="BQ25" s="469"/>
      <c r="BR25" s="470"/>
      <c r="BS25" s="469"/>
      <c r="BT25" s="469"/>
      <c r="BU25" s="469"/>
      <c r="BV25" s="469"/>
      <c r="BW25" s="469"/>
      <c r="BX25" s="469"/>
      <c r="BY25" s="470"/>
      <c r="BZ25" s="469"/>
      <c r="CA25" s="469"/>
      <c r="CB25" s="469"/>
      <c r="CC25" s="469"/>
      <c r="CD25" s="469"/>
      <c r="CE25" s="469"/>
      <c r="CF25" s="469"/>
      <c r="CG25" s="469"/>
      <c r="CH25" s="470"/>
      <c r="CI25" s="469"/>
      <c r="CJ25" s="469"/>
      <c r="CK25" s="469"/>
      <c r="CL25" s="469"/>
      <c r="CM25" s="469"/>
      <c r="CN25" s="469"/>
      <c r="CO25" s="469"/>
      <c r="CP25" s="469"/>
      <c r="CQ25" s="469"/>
      <c r="CR25" s="469"/>
      <c r="CS25" s="469"/>
      <c r="CT25" s="469"/>
      <c r="CU25" s="469"/>
      <c r="CV25" s="469"/>
      <c r="CW25" s="469"/>
      <c r="CX25" s="469"/>
      <c r="CY25" s="469"/>
      <c r="CZ25" s="469"/>
      <c r="DA25" s="469"/>
      <c r="DB25" s="469"/>
      <c r="DC25" s="469"/>
      <c r="DD25" s="469"/>
      <c r="DE25" s="469"/>
      <c r="DF25" s="469"/>
      <c r="DG25" s="469"/>
      <c r="DH25" s="469"/>
      <c r="DI25" s="469"/>
      <c r="DJ25" s="469"/>
      <c r="DK25" s="469"/>
      <c r="DL25" s="469"/>
      <c r="DM25" s="469"/>
      <c r="DN25" s="469"/>
      <c r="DO25" s="469"/>
      <c r="DP25" s="469"/>
      <c r="DQ25" s="469"/>
      <c r="DR25" s="469"/>
      <c r="DS25" s="469"/>
      <c r="DT25" s="469"/>
      <c r="DU25" s="469"/>
      <c r="DV25" s="469"/>
      <c r="DW25" s="469"/>
      <c r="DX25" s="469"/>
      <c r="DY25" s="469"/>
      <c r="DZ25" s="469"/>
      <c r="EA25" s="469"/>
      <c r="EB25" s="469"/>
      <c r="EC25" s="469"/>
      <c r="ED25" s="469"/>
      <c r="EE25" s="469"/>
      <c r="EF25" s="469"/>
      <c r="EG25" s="469"/>
      <c r="EH25" s="469"/>
      <c r="EI25" s="469"/>
      <c r="EJ25" s="469"/>
      <c r="EK25" s="469"/>
      <c r="EL25" s="469"/>
      <c r="EM25" s="469"/>
      <c r="EN25" s="469"/>
      <c r="EO25" s="469"/>
      <c r="EP25" s="469"/>
      <c r="EQ25" s="469"/>
      <c r="ER25" s="469"/>
      <c r="ES25" s="469"/>
      <c r="ET25" s="469"/>
      <c r="EU25" s="469"/>
      <c r="EV25" s="469"/>
      <c r="EW25" s="469"/>
      <c r="EX25" s="468"/>
      <c r="EY25" s="17"/>
    </row>
    <row r="26" spans="1:155" s="19" customFormat="1" ht="12.6" x14ac:dyDescent="0.25">
      <c r="A26" s="17"/>
      <c r="B26" s="201"/>
      <c r="C26" s="21" t="s">
        <v>75</v>
      </c>
      <c r="E26" s="22">
        <f>SUM(Cash!$K23:$V23)</f>
        <v>-172</v>
      </c>
      <c r="F26" s="23"/>
      <c r="G26" s="22">
        <f>SUM(Cash!$W23:$AH23)</f>
        <v>0</v>
      </c>
      <c r="H26" s="24">
        <f>G26-E26</f>
        <v>172</v>
      </c>
      <c r="I26" s="25" t="str">
        <f>IFERROR(IF(G26/E26-1=-1,"n/a",G26/E26-1),0)</f>
        <v>n/a</v>
      </c>
      <c r="J26" s="26"/>
      <c r="K26" s="22">
        <f>SUM(Cash!$AI23:$AT23)</f>
        <v>0</v>
      </c>
      <c r="L26" s="27">
        <f>K26-G26</f>
        <v>0</v>
      </c>
      <c r="M26" s="26">
        <f>IFERROR(IF(K26/G26-1=-1,"n/a",K26/G26-1),0)</f>
        <v>0</v>
      </c>
      <c r="N26" s="23"/>
      <c r="O26" s="22">
        <f>SUM(Cash!$AU23:$BF23)</f>
        <v>0</v>
      </c>
      <c r="P26" s="27">
        <f>O26-K26</f>
        <v>0</v>
      </c>
      <c r="Q26" s="26">
        <f>IFERROR(IF(O26/K26-1=-1,"n/a",O26/K26-1),0)</f>
        <v>0</v>
      </c>
      <c r="R26" s="23"/>
      <c r="S26" s="22">
        <f>SUM(Cash!$BG23:$BR23)</f>
        <v>60</v>
      </c>
      <c r="T26" s="27">
        <f>S26-O26</f>
        <v>60</v>
      </c>
      <c r="U26" s="26">
        <f>IFERROR(IF(S26/O26-1=-1,"n/a",S26/O26-1),0)</f>
        <v>0</v>
      </c>
      <c r="V26" s="23"/>
      <c r="AZ26" s="17"/>
      <c r="BA26" s="17"/>
      <c r="BB26" s="469" t="s">
        <v>23</v>
      </c>
      <c r="BC26" s="491">
        <v>2</v>
      </c>
      <c r="BD26" s="491">
        <v>202.95371483973139</v>
      </c>
      <c r="BE26" s="519">
        <f ca="1">BD26/BD24</f>
        <v>0.38338252736195677</v>
      </c>
      <c r="BF26" s="469" t="s">
        <v>23</v>
      </c>
      <c r="BG26" s="470"/>
      <c r="BH26" s="469"/>
      <c r="BI26" s="472"/>
      <c r="BJ26" s="469"/>
      <c r="BK26" s="469"/>
      <c r="BL26" s="470"/>
      <c r="BM26" s="469"/>
      <c r="BN26" s="469"/>
      <c r="BO26" s="469"/>
      <c r="BP26" s="469"/>
      <c r="BQ26" s="469"/>
      <c r="BR26" s="470"/>
      <c r="BS26" s="469"/>
      <c r="BT26" s="469"/>
      <c r="BU26" s="469"/>
      <c r="BV26" s="469"/>
      <c r="BW26" s="469"/>
      <c r="BX26" s="469"/>
      <c r="BY26" s="470"/>
      <c r="BZ26" s="469"/>
      <c r="CA26" s="469"/>
      <c r="CB26" s="469"/>
      <c r="CC26" s="469"/>
      <c r="CD26" s="469"/>
      <c r="CE26" s="469"/>
      <c r="CF26" s="469"/>
      <c r="CG26" s="469"/>
      <c r="CH26" s="470"/>
      <c r="CI26" s="469"/>
      <c r="CJ26" s="469"/>
      <c r="CK26" s="469"/>
      <c r="CL26" s="469"/>
      <c r="CM26" s="469"/>
      <c r="CN26" s="469"/>
      <c r="CO26" s="469"/>
      <c r="CP26" s="469"/>
      <c r="CQ26" s="469"/>
      <c r="CR26" s="469"/>
      <c r="CS26" s="469"/>
      <c r="CT26" s="469"/>
      <c r="CU26" s="469"/>
      <c r="CV26" s="469"/>
      <c r="CW26" s="469"/>
      <c r="CX26" s="469"/>
      <c r="CY26" s="469"/>
      <c r="CZ26" s="469"/>
      <c r="DA26" s="469"/>
      <c r="DB26" s="469"/>
      <c r="DC26" s="469"/>
      <c r="DD26" s="469"/>
      <c r="DE26" s="469"/>
      <c r="DF26" s="469"/>
      <c r="DG26" s="469"/>
      <c r="DH26" s="469"/>
      <c r="DI26" s="469"/>
      <c r="DJ26" s="469"/>
      <c r="DK26" s="469"/>
      <c r="DL26" s="469"/>
      <c r="DM26" s="469"/>
      <c r="DN26" s="469"/>
      <c r="DO26" s="469"/>
      <c r="DP26" s="469"/>
      <c r="DQ26" s="469"/>
      <c r="DR26" s="469"/>
      <c r="DS26" s="469"/>
      <c r="DT26" s="469"/>
      <c r="DU26" s="469"/>
      <c r="DV26" s="469"/>
      <c r="DW26" s="469"/>
      <c r="DX26" s="469"/>
      <c r="DY26" s="469"/>
      <c r="DZ26" s="469"/>
      <c r="EA26" s="469"/>
      <c r="EB26" s="469"/>
      <c r="EC26" s="469"/>
      <c r="ED26" s="469"/>
      <c r="EE26" s="469"/>
      <c r="EF26" s="469"/>
      <c r="EG26" s="469"/>
      <c r="EH26" s="469"/>
      <c r="EI26" s="469"/>
      <c r="EJ26" s="469"/>
      <c r="EK26" s="469"/>
      <c r="EL26" s="469"/>
      <c r="EM26" s="469"/>
      <c r="EN26" s="469"/>
      <c r="EO26" s="469"/>
      <c r="EP26" s="469"/>
      <c r="EQ26" s="469"/>
      <c r="ER26" s="469"/>
      <c r="ES26" s="469"/>
      <c r="ET26" s="469"/>
      <c r="EU26" s="469"/>
      <c r="EV26" s="469"/>
      <c r="EW26" s="469"/>
      <c r="EX26" s="468"/>
      <c r="EY26" s="17"/>
    </row>
    <row r="27" spans="1:155" s="19" customFormat="1" ht="12.6" x14ac:dyDescent="0.25">
      <c r="A27" s="17"/>
      <c r="B27" s="227"/>
      <c r="C27" s="21" t="s">
        <v>76</v>
      </c>
      <c r="E27" s="22">
        <f ca="1">SUM(Cash!$K32:$V32)</f>
        <v>378.08477106817014</v>
      </c>
      <c r="F27" s="23"/>
      <c r="G27" s="22">
        <f ca="1">SUM(Cash!$W32:$AH32)</f>
        <v>-59.417298088019102</v>
      </c>
      <c r="H27" s="24">
        <f ca="1">G27-E27</f>
        <v>-437.50206915618924</v>
      </c>
      <c r="I27" s="25">
        <f ca="1">IFERROR(IF(G27/E27-1=-1,"n/a",G27/E27-1),0)</f>
        <v>-1.1571533757367496</v>
      </c>
      <c r="J27" s="26"/>
      <c r="K27" s="22">
        <f ca="1">SUM(Cash!$AI32:$AT32)</f>
        <v>0</v>
      </c>
      <c r="L27" s="27">
        <f ca="1">K27-G27</f>
        <v>59.417298088019102</v>
      </c>
      <c r="M27" s="26" t="str">
        <f ca="1">IFERROR(IF(K27/G27-1=-1,"n/a",K27/G27-1),0)</f>
        <v>n/a</v>
      </c>
      <c r="N27" s="23"/>
      <c r="O27" s="22">
        <f ca="1">SUM(Cash!$AU32:$BF32)</f>
        <v>0</v>
      </c>
      <c r="P27" s="27">
        <f ca="1">O27-K27</f>
        <v>0</v>
      </c>
      <c r="Q27" s="26">
        <f ca="1">IFERROR(IF(O27/K27-1=-1,"n/a",O27/K27-1),0)</f>
        <v>0</v>
      </c>
      <c r="R27" s="23"/>
      <c r="S27" s="22">
        <f ca="1">SUM(Cash!$BG32:$BR32)</f>
        <v>0</v>
      </c>
      <c r="T27" s="27">
        <f ca="1">S27-O27</f>
        <v>0</v>
      </c>
      <c r="U27" s="26">
        <f ca="1">IFERROR(IF(S27/O27-1=-1,"n/a",S27/O27-1),0)</f>
        <v>0</v>
      </c>
      <c r="V27" s="23"/>
      <c r="AZ27" s="17"/>
      <c r="BA27" s="17"/>
      <c r="BB27" s="469" t="s">
        <v>23</v>
      </c>
      <c r="BC27" s="497"/>
      <c r="BD27" s="494">
        <f ca="1">BH17</f>
        <v>529.37653741355814</v>
      </c>
      <c r="BE27" s="495" t="s">
        <v>61</v>
      </c>
      <c r="BF27" s="469" t="s">
        <v>23</v>
      </c>
      <c r="BG27" s="470"/>
      <c r="BH27" s="469"/>
      <c r="BI27" s="472"/>
      <c r="BJ27" s="469"/>
      <c r="BK27" s="469"/>
      <c r="BL27" s="470"/>
      <c r="BM27" s="469"/>
      <c r="BN27" s="469"/>
      <c r="BO27" s="469"/>
      <c r="BP27" s="469"/>
      <c r="BQ27" s="469"/>
      <c r="BR27" s="470"/>
      <c r="BS27" s="469"/>
      <c r="BT27" s="469"/>
      <c r="BU27" s="469"/>
      <c r="BV27" s="469"/>
      <c r="BW27" s="469"/>
      <c r="BX27" s="469"/>
      <c r="BY27" s="470"/>
      <c r="BZ27" s="469"/>
      <c r="CA27" s="469"/>
      <c r="CB27" s="469"/>
      <c r="CC27" s="469"/>
      <c r="CD27" s="469"/>
      <c r="CE27" s="469"/>
      <c r="CF27" s="469"/>
      <c r="CG27" s="469"/>
      <c r="CH27" s="470"/>
      <c r="CI27" s="469"/>
      <c r="CJ27" s="469"/>
      <c r="CK27" s="469"/>
      <c r="CL27" s="469"/>
      <c r="CM27" s="469"/>
      <c r="CN27" s="469"/>
      <c r="CO27" s="469"/>
      <c r="CP27" s="469"/>
      <c r="CQ27" s="469"/>
      <c r="CR27" s="469"/>
      <c r="CS27" s="469"/>
      <c r="CT27" s="469"/>
      <c r="CU27" s="469"/>
      <c r="CV27" s="469"/>
      <c r="CW27" s="469"/>
      <c r="CX27" s="469"/>
      <c r="CY27" s="469"/>
      <c r="CZ27" s="469"/>
      <c r="DA27" s="469"/>
      <c r="DB27" s="469"/>
      <c r="DC27" s="469"/>
      <c r="DD27" s="469"/>
      <c r="DE27" s="469"/>
      <c r="DF27" s="469"/>
      <c r="DG27" s="469"/>
      <c r="DH27" s="469"/>
      <c r="DI27" s="469"/>
      <c r="DJ27" s="469"/>
      <c r="DK27" s="469"/>
      <c r="DL27" s="469"/>
      <c r="DM27" s="469"/>
      <c r="DN27" s="469"/>
      <c r="DO27" s="469"/>
      <c r="DP27" s="469"/>
      <c r="DQ27" s="469"/>
      <c r="DR27" s="469"/>
      <c r="DS27" s="469"/>
      <c r="DT27" s="469"/>
      <c r="DU27" s="469"/>
      <c r="DV27" s="469"/>
      <c r="DW27" s="469"/>
      <c r="DX27" s="469"/>
      <c r="DY27" s="469"/>
      <c r="DZ27" s="469"/>
      <c r="EA27" s="469"/>
      <c r="EB27" s="469"/>
      <c r="EC27" s="469"/>
      <c r="ED27" s="469"/>
      <c r="EE27" s="469"/>
      <c r="EF27" s="469"/>
      <c r="EG27" s="469"/>
      <c r="EH27" s="469"/>
      <c r="EI27" s="469"/>
      <c r="EJ27" s="469"/>
      <c r="EK27" s="469"/>
      <c r="EL27" s="469"/>
      <c r="EM27" s="469"/>
      <c r="EN27" s="469"/>
      <c r="EO27" s="469"/>
      <c r="EP27" s="469"/>
      <c r="EQ27" s="469"/>
      <c r="ER27" s="469"/>
      <c r="ES27" s="469"/>
      <c r="ET27" s="469"/>
      <c r="EU27" s="469"/>
      <c r="EV27" s="469"/>
      <c r="EW27" s="469"/>
      <c r="EX27" s="468"/>
      <c r="EY27" s="17"/>
    </row>
    <row r="28" spans="1:155" s="19" customFormat="1" ht="12.6" x14ac:dyDescent="0.25">
      <c r="A28" s="17"/>
      <c r="B28" s="201"/>
      <c r="C28" s="18" t="s">
        <v>77</v>
      </c>
      <c r="H28" s="20"/>
      <c r="I28" s="20"/>
      <c r="J28" s="20"/>
      <c r="L28" s="20"/>
      <c r="M28" s="20"/>
      <c r="P28" s="20"/>
      <c r="Q28" s="20"/>
      <c r="T28" s="20"/>
      <c r="U28" s="20"/>
      <c r="AZ28" s="17"/>
      <c r="BA28" s="17"/>
      <c r="BB28" s="469" t="s">
        <v>23</v>
      </c>
      <c r="BC28" s="469">
        <v>1</v>
      </c>
      <c r="BD28" s="520">
        <v>361.22838926540999</v>
      </c>
      <c r="BE28" s="519">
        <f ca="1">BD28/BD27</f>
        <v>0.68236569574902051</v>
      </c>
      <c r="BF28" s="469" t="s">
        <v>23</v>
      </c>
      <c r="BG28" s="473"/>
      <c r="BH28" s="472"/>
      <c r="BI28" s="472"/>
      <c r="BJ28" s="469"/>
      <c r="BK28" s="469"/>
      <c r="BL28" s="470"/>
      <c r="BM28" s="469"/>
      <c r="BN28" s="469"/>
      <c r="BO28" s="469"/>
      <c r="BP28" s="469"/>
      <c r="BQ28" s="469"/>
      <c r="BR28" s="470"/>
      <c r="BS28" s="469"/>
      <c r="BT28" s="469"/>
      <c r="BU28" s="469"/>
      <c r="BV28" s="469"/>
      <c r="BW28" s="469"/>
      <c r="BX28" s="469"/>
      <c r="BY28" s="470"/>
      <c r="BZ28" s="469"/>
      <c r="CA28" s="469"/>
      <c r="CB28" s="469"/>
      <c r="CC28" s="469"/>
      <c r="CD28" s="469"/>
      <c r="CE28" s="469"/>
      <c r="CF28" s="469"/>
      <c r="CG28" s="469"/>
      <c r="CH28" s="470"/>
      <c r="CI28" s="469"/>
      <c r="CJ28" s="469"/>
      <c r="CK28" s="469"/>
      <c r="CL28" s="469"/>
      <c r="CM28" s="469"/>
      <c r="CN28" s="469"/>
      <c r="CO28" s="469"/>
      <c r="CP28" s="469"/>
      <c r="CQ28" s="469"/>
      <c r="CR28" s="469"/>
      <c r="CS28" s="469"/>
      <c r="CT28" s="469"/>
      <c r="CU28" s="469"/>
      <c r="CV28" s="469"/>
      <c r="CW28" s="469"/>
      <c r="CX28" s="469"/>
      <c r="CY28" s="469"/>
      <c r="CZ28" s="469"/>
      <c r="DA28" s="469"/>
      <c r="DB28" s="469"/>
      <c r="DC28" s="469"/>
      <c r="DD28" s="469"/>
      <c r="DE28" s="469"/>
      <c r="DF28" s="469"/>
      <c r="DG28" s="469"/>
      <c r="DH28" s="469"/>
      <c r="DI28" s="469"/>
      <c r="DJ28" s="469"/>
      <c r="DK28" s="469"/>
      <c r="DL28" s="469"/>
      <c r="DM28" s="469"/>
      <c r="DN28" s="469"/>
      <c r="DO28" s="469"/>
      <c r="DP28" s="469"/>
      <c r="DQ28" s="469"/>
      <c r="DR28" s="469"/>
      <c r="DS28" s="469"/>
      <c r="DT28" s="469"/>
      <c r="DU28" s="469"/>
      <c r="DV28" s="469"/>
      <c r="DW28" s="469"/>
      <c r="DX28" s="469"/>
      <c r="DY28" s="469"/>
      <c r="DZ28" s="469"/>
      <c r="EA28" s="469"/>
      <c r="EB28" s="469"/>
      <c r="EC28" s="469"/>
      <c r="ED28" s="469"/>
      <c r="EE28" s="469"/>
      <c r="EF28" s="469"/>
      <c r="EG28" s="469"/>
      <c r="EH28" s="469"/>
      <c r="EI28" s="469"/>
      <c r="EJ28" s="469"/>
      <c r="EK28" s="469"/>
      <c r="EL28" s="469"/>
      <c r="EM28" s="469"/>
      <c r="EN28" s="469"/>
      <c r="EO28" s="469"/>
      <c r="EP28" s="469"/>
      <c r="EQ28" s="469"/>
      <c r="ER28" s="469"/>
      <c r="ES28" s="469"/>
      <c r="ET28" s="469"/>
      <c r="EU28" s="469"/>
      <c r="EV28" s="469"/>
      <c r="EW28" s="469"/>
      <c r="EX28" s="468"/>
      <c r="EY28" s="17"/>
    </row>
    <row r="29" spans="1:155" s="19" customFormat="1" ht="12.6" x14ac:dyDescent="0.25">
      <c r="A29" s="5"/>
      <c r="B29" s="67"/>
      <c r="C29" s="644" t="s">
        <v>78</v>
      </c>
      <c r="D29" s="29"/>
      <c r="E29" s="30" t="s">
        <v>79</v>
      </c>
      <c r="F29" s="31"/>
      <c r="G29" s="32">
        <f ca="1">Valuation!$H$25</f>
        <v>7182.4924568255083</v>
      </c>
      <c r="H29" s="33"/>
      <c r="I29" s="33"/>
      <c r="J29" s="33"/>
      <c r="K29" s="34"/>
      <c r="L29" s="33"/>
      <c r="M29" s="34"/>
      <c r="N29" s="34"/>
      <c r="O29" s="34"/>
      <c r="P29" s="34"/>
      <c r="Q29" s="33"/>
      <c r="R29" s="34"/>
      <c r="S29" s="34"/>
      <c r="T29" s="33"/>
      <c r="U29" s="33"/>
      <c r="V29" s="34"/>
      <c r="AZ29" s="17"/>
      <c r="BA29" s="17"/>
      <c r="BB29" s="469" t="s">
        <v>23</v>
      </c>
      <c r="BC29" s="469">
        <v>2</v>
      </c>
      <c r="BD29" s="520">
        <v>277.15431519133591</v>
      </c>
      <c r="BE29" s="519">
        <f ca="1">BD29/BD27</f>
        <v>0.52354854362353076</v>
      </c>
      <c r="BF29" s="469" t="s">
        <v>23</v>
      </c>
      <c r="BG29" s="473"/>
      <c r="BH29" s="472"/>
      <c r="BI29" s="472"/>
      <c r="BJ29" s="469"/>
      <c r="BK29" s="469"/>
      <c r="BL29" s="470"/>
      <c r="BM29" s="469"/>
      <c r="BN29" s="469"/>
      <c r="BO29" s="469"/>
      <c r="BP29" s="469"/>
      <c r="BQ29" s="469"/>
      <c r="BR29" s="470"/>
      <c r="BS29" s="469"/>
      <c r="BT29" s="469"/>
      <c r="BU29" s="469"/>
      <c r="BV29" s="469"/>
      <c r="BW29" s="469"/>
      <c r="BX29" s="469"/>
      <c r="BY29" s="470"/>
      <c r="BZ29" s="469"/>
      <c r="CA29" s="469"/>
      <c r="CB29" s="469"/>
      <c r="CC29" s="469"/>
      <c r="CD29" s="469"/>
      <c r="CE29" s="469"/>
      <c r="CF29" s="469"/>
      <c r="CG29" s="469"/>
      <c r="CH29" s="470"/>
      <c r="CI29" s="469"/>
      <c r="CJ29" s="469"/>
      <c r="CK29" s="469"/>
      <c r="CL29" s="469"/>
      <c r="CM29" s="469"/>
      <c r="CN29" s="469"/>
      <c r="CO29" s="469"/>
      <c r="CP29" s="469"/>
      <c r="CQ29" s="469"/>
      <c r="CR29" s="469"/>
      <c r="CS29" s="469"/>
      <c r="CT29" s="469"/>
      <c r="CU29" s="469"/>
      <c r="CV29" s="469"/>
      <c r="CW29" s="469"/>
      <c r="CX29" s="469"/>
      <c r="CY29" s="469"/>
      <c r="CZ29" s="469"/>
      <c r="DA29" s="469"/>
      <c r="DB29" s="469"/>
      <c r="DC29" s="469"/>
      <c r="DD29" s="469"/>
      <c r="DE29" s="469"/>
      <c r="DF29" s="469"/>
      <c r="DG29" s="469"/>
      <c r="DH29" s="469"/>
      <c r="DI29" s="469"/>
      <c r="DJ29" s="469"/>
      <c r="DK29" s="469"/>
      <c r="DL29" s="469"/>
      <c r="DM29" s="469"/>
      <c r="DN29" s="469"/>
      <c r="DO29" s="469"/>
      <c r="DP29" s="469"/>
      <c r="DQ29" s="469"/>
      <c r="DR29" s="469"/>
      <c r="DS29" s="469"/>
      <c r="DT29" s="469"/>
      <c r="DU29" s="469"/>
      <c r="DV29" s="469"/>
      <c r="DW29" s="469"/>
      <c r="DX29" s="469"/>
      <c r="DY29" s="469"/>
      <c r="DZ29" s="469"/>
      <c r="EA29" s="469"/>
      <c r="EB29" s="469"/>
      <c r="EC29" s="469"/>
      <c r="ED29" s="469"/>
      <c r="EE29" s="469"/>
      <c r="EF29" s="469"/>
      <c r="EG29" s="469"/>
      <c r="EH29" s="469"/>
      <c r="EI29" s="469"/>
      <c r="EJ29" s="469"/>
      <c r="EK29" s="469"/>
      <c r="EL29" s="469"/>
      <c r="EM29" s="469"/>
      <c r="EN29" s="469"/>
      <c r="EO29" s="469"/>
      <c r="EP29" s="469"/>
      <c r="EQ29" s="469"/>
      <c r="ER29" s="469"/>
      <c r="ES29" s="469"/>
      <c r="ET29" s="469"/>
      <c r="EU29" s="469"/>
      <c r="EV29" s="469"/>
      <c r="EW29" s="469"/>
      <c r="EX29" s="468"/>
      <c r="EY29" s="17"/>
    </row>
    <row r="30" spans="1:155" x14ac:dyDescent="0.3">
      <c r="C30" s="644"/>
      <c r="E30" s="30" t="s">
        <v>71</v>
      </c>
      <c r="F30" s="31"/>
      <c r="G30" s="32">
        <f ca="1">Valuation!$H$28</f>
        <v>7521.9667364327497</v>
      </c>
      <c r="L30" s="34"/>
      <c r="M30" s="34"/>
      <c r="N30" s="34"/>
      <c r="P30" s="34"/>
      <c r="R30" s="34"/>
      <c r="BB30" s="518"/>
      <c r="BC30" s="513" t="s">
        <v>15</v>
      </c>
      <c r="BD30" s="513" t="s">
        <v>16</v>
      </c>
      <c r="BE30" s="475" t="s">
        <v>17</v>
      </c>
      <c r="BF30" s="518"/>
      <c r="BG30" s="473"/>
      <c r="BH30" s="472"/>
      <c r="BI30" s="472"/>
      <c r="BJ30" s="472"/>
      <c r="BK30" s="472"/>
      <c r="BL30" s="473"/>
      <c r="BM30" s="472"/>
      <c r="BN30" s="472"/>
      <c r="BO30" s="472"/>
      <c r="BP30" s="472"/>
      <c r="BQ30" s="472"/>
      <c r="BR30" s="473"/>
      <c r="BS30" s="472"/>
      <c r="BT30" s="472"/>
      <c r="BU30" s="472"/>
      <c r="BV30" s="472"/>
      <c r="BW30" s="472"/>
      <c r="BX30" s="472"/>
      <c r="BY30" s="473"/>
      <c r="BZ30" s="472"/>
      <c r="CA30" s="472"/>
      <c r="CB30" s="472"/>
      <c r="CC30" s="472"/>
      <c r="CD30" s="472"/>
      <c r="CE30" s="472"/>
      <c r="CF30" s="472"/>
      <c r="CG30" s="472"/>
      <c r="CH30" s="473"/>
      <c r="CI30" s="472"/>
      <c r="CJ30" s="472"/>
      <c r="CK30" s="472"/>
      <c r="CL30" s="472"/>
      <c r="CM30" s="472"/>
      <c r="CN30" s="472"/>
      <c r="CO30" s="472"/>
      <c r="CP30" s="472"/>
      <c r="CQ30" s="472"/>
      <c r="CR30" s="472"/>
      <c r="CS30" s="472"/>
      <c r="CT30" s="472"/>
      <c r="CU30" s="472"/>
      <c r="CV30" s="472"/>
      <c r="CW30" s="472"/>
      <c r="CX30" s="472"/>
      <c r="CY30" s="472"/>
      <c r="CZ30" s="472"/>
      <c r="DA30" s="472"/>
      <c r="DB30" s="472"/>
      <c r="DC30" s="472"/>
      <c r="DD30" s="472"/>
      <c r="DE30" s="472"/>
      <c r="DF30" s="472"/>
      <c r="DG30" s="472"/>
      <c r="DH30" s="472"/>
      <c r="DI30" s="472"/>
      <c r="DJ30" s="472"/>
      <c r="DK30" s="472"/>
      <c r="DL30" s="472"/>
      <c r="DM30" s="472"/>
      <c r="DN30" s="472"/>
      <c r="DO30" s="472"/>
      <c r="DP30" s="472"/>
      <c r="DQ30" s="472"/>
      <c r="DR30" s="472"/>
      <c r="DS30" s="472"/>
      <c r="DT30" s="472"/>
      <c r="DU30" s="472"/>
      <c r="DV30" s="472"/>
      <c r="DW30" s="472"/>
      <c r="DX30" s="472"/>
      <c r="DY30" s="472"/>
      <c r="DZ30" s="472"/>
      <c r="EA30" s="472"/>
      <c r="EB30" s="472"/>
      <c r="EC30" s="472"/>
      <c r="ED30" s="472"/>
      <c r="EE30" s="472"/>
      <c r="EF30" s="472"/>
      <c r="EG30" s="472"/>
      <c r="EH30" s="472"/>
      <c r="EI30" s="472"/>
      <c r="EJ30" s="472"/>
      <c r="EK30" s="472"/>
      <c r="EL30" s="472"/>
      <c r="EM30" s="472"/>
      <c r="EN30" s="472"/>
      <c r="EO30" s="472"/>
      <c r="EP30" s="472"/>
      <c r="EQ30" s="472"/>
      <c r="ER30" s="472"/>
      <c r="ES30" s="472"/>
      <c r="ET30" s="472"/>
      <c r="EU30" s="472"/>
      <c r="EV30" s="472"/>
      <c r="EW30" s="472"/>
      <c r="EX30" s="471"/>
    </row>
    <row r="31" spans="1:155" ht="6" customHeight="1" x14ac:dyDescent="0.3">
      <c r="A31" s="36"/>
      <c r="B31" s="201"/>
      <c r="C31" s="36"/>
      <c r="D31" s="36"/>
      <c r="E31" s="36"/>
      <c r="L31" s="34"/>
      <c r="M31" s="34"/>
      <c r="N31" s="34"/>
      <c r="P31" s="34"/>
      <c r="R31" s="34"/>
      <c r="BB31" s="521"/>
      <c r="BC31" s="522"/>
      <c r="BD31" s="522"/>
      <c r="BE31" s="523"/>
      <c r="BF31" s="522"/>
      <c r="BG31" s="523"/>
      <c r="BH31" s="522"/>
    </row>
    <row r="32" spans="1:155" x14ac:dyDescent="0.3">
      <c r="B32" s="175"/>
      <c r="C32" s="644" t="s">
        <v>80</v>
      </c>
      <c r="E32" s="32" t="s">
        <v>81</v>
      </c>
      <c r="F32" s="31"/>
      <c r="G32" s="32">
        <f ca="1">Valuation!$N$25</f>
        <v>2646.882687067789</v>
      </c>
      <c r="L32" s="34"/>
      <c r="M32" s="34"/>
      <c r="N32" s="34"/>
      <c r="P32" s="34"/>
      <c r="R32" s="34"/>
      <c r="BB32" s="521"/>
      <c r="BC32" s="522"/>
      <c r="BD32" s="522"/>
      <c r="BE32" s="523"/>
      <c r="BF32" s="522"/>
      <c r="BG32" s="523"/>
      <c r="BH32" s="522"/>
    </row>
    <row r="33" spans="2:91" x14ac:dyDescent="0.3">
      <c r="B33" s="197"/>
      <c r="C33" s="644"/>
      <c r="D33" s="34"/>
      <c r="E33" s="32" t="s">
        <v>82</v>
      </c>
      <c r="F33" s="31"/>
      <c r="G33" s="32">
        <f ca="1">Valuation!$N$28</f>
        <v>2464.4696654038803</v>
      </c>
      <c r="BB33" s="521"/>
      <c r="BC33" s="522"/>
      <c r="BD33" s="522"/>
      <c r="BE33" s="523"/>
      <c r="BF33" s="522"/>
      <c r="BG33" s="523"/>
      <c r="BH33" s="522"/>
      <c r="BJ33" s="527"/>
      <c r="BK33" s="527"/>
      <c r="BL33" s="528"/>
      <c r="BM33" s="527"/>
      <c r="BN33" s="527"/>
      <c r="BO33" s="527"/>
      <c r="BQ33" s="522"/>
      <c r="CM33" s="527"/>
    </row>
    <row r="34" spans="2:91" x14ac:dyDescent="0.3">
      <c r="D34" s="34"/>
      <c r="CM34" s="527"/>
    </row>
    <row r="35" spans="2:91" x14ac:dyDescent="0.3">
      <c r="B35" s="233"/>
      <c r="D35" s="34"/>
      <c r="CM35" s="527"/>
    </row>
    <row r="36" spans="2:91" x14ac:dyDescent="0.3">
      <c r="B36" s="233"/>
      <c r="BB36" s="521"/>
      <c r="BC36" s="522"/>
      <c r="BD36" s="522"/>
      <c r="BE36" s="523"/>
      <c r="BF36" s="522"/>
      <c r="BG36" s="523"/>
      <c r="BH36" s="522"/>
      <c r="BI36" s="522"/>
      <c r="BJ36" s="522"/>
      <c r="BK36" s="522"/>
      <c r="BL36" s="523"/>
      <c r="CM36" s="529"/>
    </row>
    <row r="37" spans="2:91" x14ac:dyDescent="0.3">
      <c r="B37" s="197"/>
      <c r="BB37" s="521"/>
      <c r="BC37" s="522"/>
      <c r="BD37" s="522"/>
      <c r="BE37" s="523"/>
      <c r="BF37" s="522"/>
      <c r="BG37" s="523"/>
      <c r="BH37" s="522"/>
      <c r="BI37" s="522"/>
      <c r="BJ37" s="522"/>
      <c r="BK37" s="522"/>
      <c r="BL37" s="523"/>
      <c r="CM37" s="529"/>
    </row>
    <row r="38" spans="2:91" x14ac:dyDescent="0.3">
      <c r="BQ38" s="530"/>
      <c r="CM38" s="527"/>
    </row>
    <row r="39" spans="2:91" x14ac:dyDescent="0.3">
      <c r="CM39" s="527"/>
    </row>
    <row r="40" spans="2:91" x14ac:dyDescent="0.3">
      <c r="BQ40" s="527"/>
      <c r="CM40" s="527"/>
    </row>
    <row r="41" spans="2:91" x14ac:dyDescent="0.3">
      <c r="BQ41" s="531"/>
      <c r="BV41" s="531"/>
      <c r="BY41" s="532"/>
      <c r="BZ41" s="531"/>
      <c r="CA41" s="531"/>
      <c r="CB41" s="531"/>
      <c r="CC41" s="531"/>
      <c r="CD41" s="531"/>
      <c r="CE41" s="531"/>
      <c r="CG41" s="531"/>
      <c r="CH41" s="532"/>
      <c r="CI41" s="531"/>
      <c r="CJ41" s="531"/>
      <c r="CK41" s="531"/>
      <c r="CL41" s="531"/>
      <c r="CM41" s="531"/>
    </row>
    <row r="42" spans="2:91" x14ac:dyDescent="0.3">
      <c r="BQ42" s="531"/>
      <c r="BV42" s="531"/>
      <c r="BY42" s="532"/>
      <c r="BZ42" s="531"/>
      <c r="CA42" s="531"/>
      <c r="CB42" s="531"/>
      <c r="CC42" s="531"/>
      <c r="CD42" s="531"/>
      <c r="CE42" s="531"/>
      <c r="CG42" s="531"/>
      <c r="CH42" s="532"/>
      <c r="CI42" s="531"/>
      <c r="CJ42" s="531"/>
      <c r="CK42" s="531"/>
      <c r="CL42" s="531"/>
      <c r="CM42" s="531"/>
    </row>
    <row r="43" spans="2:91" x14ac:dyDescent="0.3">
      <c r="BF43" s="529"/>
      <c r="BG43" s="533"/>
      <c r="BH43" s="534"/>
      <c r="BI43" s="534"/>
      <c r="CJ43" s="529"/>
      <c r="CK43" s="531"/>
      <c r="CL43" s="531"/>
      <c r="CM43" s="531"/>
    </row>
    <row r="44" spans="2:91" x14ac:dyDescent="0.3">
      <c r="BF44" s="529"/>
    </row>
    <row r="45" spans="2:91" x14ac:dyDescent="0.3">
      <c r="BF45" s="529"/>
    </row>
    <row r="46" spans="2:91" x14ac:dyDescent="0.3">
      <c r="BF46" s="529"/>
    </row>
    <row r="47" spans="2:91" x14ac:dyDescent="0.3">
      <c r="BF47" s="529"/>
    </row>
    <row r="48" spans="2:91" x14ac:dyDescent="0.3">
      <c r="BF48" s="529"/>
    </row>
    <row r="49" spans="58:58" x14ac:dyDescent="0.3">
      <c r="BF49" s="529"/>
    </row>
  </sheetData>
  <sheetProtection algorithmName="SHA-512" hashValue="zOb93/2uUMGHFkJe0wc191szmI6Tltlf9N2LsciG5RT9Ct8Wnsil3pyQQZ9s3S5qVGHXv1mksAFZ8PwwQq5EAQ==" saltValue="EUMIqLu3oh7l3Mv2QQJDgg==" spinCount="100000" sheet="1" objects="1" scenarios="1" selectLockedCells="1" selectUnlockedCells="1"/>
  <mergeCells count="16">
    <mergeCell ref="C32:C33"/>
    <mergeCell ref="E4:E6"/>
    <mergeCell ref="G4:G6"/>
    <mergeCell ref="H4:H6"/>
    <mergeCell ref="I4:I6"/>
    <mergeCell ref="Q4:Q6"/>
    <mergeCell ref="S4:S6"/>
    <mergeCell ref="T4:T6"/>
    <mergeCell ref="U4:U6"/>
    <mergeCell ref="C29:C30"/>
    <mergeCell ref="K4:K6"/>
    <mergeCell ref="L4:L6"/>
    <mergeCell ref="M4:M6"/>
    <mergeCell ref="O4:O6"/>
    <mergeCell ref="P4:P6"/>
    <mergeCell ref="C3:C4"/>
  </mergeCells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54</vt:i4>
      </vt:variant>
    </vt:vector>
  </HeadingPairs>
  <TitlesOfParts>
    <vt:vector size="64" baseType="lpstr">
      <vt:lpstr>ℹ️ </vt:lpstr>
      <vt:lpstr>Drivers</vt:lpstr>
      <vt:lpstr>Credit</vt:lpstr>
      <vt:lpstr>CapEx</vt:lpstr>
      <vt:lpstr>Income</vt:lpstr>
      <vt:lpstr>Balance</vt:lpstr>
      <vt:lpstr>Cash</vt:lpstr>
      <vt:lpstr>Valuation</vt:lpstr>
      <vt:lpstr>Analysis</vt:lpstr>
      <vt:lpstr>Summary</vt:lpstr>
      <vt:lpstr>CapexAmount</vt:lpstr>
      <vt:lpstr>CapexCategory</vt:lpstr>
      <vt:lpstr>CapexMonth</vt:lpstr>
      <vt:lpstr>CapexSalvage</vt:lpstr>
      <vt:lpstr>CapexSalvageMonth</vt:lpstr>
      <vt:lpstr>COGS</vt:lpstr>
      <vt:lpstr>cogsBase</vt:lpstr>
      <vt:lpstr>CogsCAGR</vt:lpstr>
      <vt:lpstr>DepExp</vt:lpstr>
      <vt:lpstr>DepStop</vt:lpstr>
      <vt:lpstr>InventoryPct</vt:lpstr>
      <vt:lpstr>MinCash</vt:lpstr>
      <vt:lpstr>Overhead</vt:lpstr>
      <vt:lpstr>OverheadCAGR</vt:lpstr>
      <vt:lpstr>overheadCagrWgtd</vt:lpstr>
      <vt:lpstr>PayBonus</vt:lpstr>
      <vt:lpstr>payBonusWgtd</vt:lpstr>
      <vt:lpstr>PayCAGR</vt:lpstr>
      <vt:lpstr>payCagrWgtd</vt:lpstr>
      <vt:lpstr>PayCommissions</vt:lpstr>
      <vt:lpstr>PayFTE</vt:lpstr>
      <vt:lpstr>PayLoad</vt:lpstr>
      <vt:lpstr>PaySalary</vt:lpstr>
      <vt:lpstr>paySalaryWgtd</vt:lpstr>
      <vt:lpstr>Price</vt:lpstr>
      <vt:lpstr>priceBase</vt:lpstr>
      <vt:lpstr>PriceCAGR</vt:lpstr>
      <vt:lpstr>RateCredit</vt:lpstr>
      <vt:lpstr>RateEquity</vt:lpstr>
      <vt:lpstr>RateLong</vt:lpstr>
      <vt:lpstr>RateShort</vt:lpstr>
      <vt:lpstr>SalGain</vt:lpstr>
      <vt:lpstr>SalOff</vt:lpstr>
      <vt:lpstr>StartCommon</vt:lpstr>
      <vt:lpstr>StartLong</vt:lpstr>
      <vt:lpstr>StartPreferred</vt:lpstr>
      <vt:lpstr>StartShort</vt:lpstr>
      <vt:lpstr>Taxes</vt:lpstr>
      <vt:lpstr>TermsCollect30</vt:lpstr>
      <vt:lpstr>TermsCollect60</vt:lpstr>
      <vt:lpstr>TermsCollect90</vt:lpstr>
      <vt:lpstr>TermsCollectCash</vt:lpstr>
      <vt:lpstr>TermsPay30</vt:lpstr>
      <vt:lpstr>TermsPay60</vt:lpstr>
      <vt:lpstr>TermsPay90</vt:lpstr>
      <vt:lpstr>TermsPayCash</vt:lpstr>
      <vt:lpstr>Units</vt:lpstr>
      <vt:lpstr>unitsBase</vt:lpstr>
      <vt:lpstr>UnitsCAGR</vt:lpstr>
      <vt:lpstr>unitsCMGR</vt:lpstr>
      <vt:lpstr>ValEvEbitda</vt:lpstr>
      <vt:lpstr>ValPE</vt:lpstr>
      <vt:lpstr>ValTerminal</vt:lpstr>
      <vt:lpstr>ValWACC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2026-10-04T03:14:43Z</dcterms:created>
  <dcterms:modified xsi:type="dcterms:W3CDTF">2026-10-04T03:17:06Z</dcterms:modified>
</cp:coreProperties>
</file>