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146292AE-0FA7-41B7-82C8-475A04E37A27}" xr6:coauthVersionLast="47" xr6:coauthVersionMax="47" xr10:uidLastSave="{00000000-0000-0000-0000-000000000000}"/>
  <bookViews>
    <workbookView xWindow="-108" yWindow="-108" windowWidth="23256" windowHeight="12456" xr2:uid="{E7C35CB0-5940-4E33-9ECB-77002E4CDA91}"/>
  </bookViews>
  <sheets>
    <sheet name="ℹ️ " sheetId="11" r:id="rId1"/>
    <sheet name="Drivers" sheetId="10" r:id="rId2"/>
    <sheet name="CapEx" sheetId="8" r:id="rId3"/>
    <sheet name="Income" sheetId="7" r:id="rId4"/>
    <sheet name="Balance" sheetId="6" r:id="rId5"/>
    <sheet name="Cash" sheetId="9" r:id="rId6"/>
    <sheet name="Valuation" sheetId="4" r:id="rId7"/>
    <sheet name="Summary" sheetId="1" r:id="rId8"/>
  </sheets>
  <definedNames>
    <definedName name="CapexAmount">Drivers!$K$6:$K$35</definedName>
    <definedName name="CapexCategory">Drivers!$I$6:$I$35</definedName>
    <definedName name="CapexMonth">Drivers!$J$6:$J$35</definedName>
    <definedName name="CapitalDividends">Drivers!$G$6:$G$35</definedName>
    <definedName name="CapitalEquity">Drivers!$D$6:$D$35</definedName>
    <definedName name="CapitalLong">Drivers!$F$6:$F$35</definedName>
    <definedName name="CapitalMonth">Drivers!$C$6:$C$35</definedName>
    <definedName name="CapitalShort">Drivers!$E$6:$E$35</definedName>
    <definedName name="COGS">Drivers!$S$6:$S$35</definedName>
    <definedName name="DeprecExp">Drivers!$N$6:$N$35</definedName>
    <definedName name="DeprecMonths">Drivers!$L$6:$L$35</definedName>
    <definedName name="DeprecStop">Drivers!$M$6:$M$35</definedName>
    <definedName name="InventoryPct">Drivers!$AC$23</definedName>
    <definedName name="OtherCA">Drivers!$AC$25</definedName>
    <definedName name="OtherCAcagr">Drivers!$AC$26</definedName>
    <definedName name="OtherCL">Drivers!$AC$28</definedName>
    <definedName name="OtherCLcagr">Drivers!$AC$29</definedName>
    <definedName name="Overhead">Drivers!$U$6:$U$35</definedName>
    <definedName name="OverheadCAGR">Drivers!$V$6:$V$35</definedName>
    <definedName name="PayCAGR">Drivers!$Z$6:$Z$35</definedName>
    <definedName name="PayFTE">Drivers!$X$6:$X$35</definedName>
    <definedName name="PayLoad">Drivers!$AC$20</definedName>
    <definedName name="PaySalary">Drivers!$Y$6:$Y$35</definedName>
    <definedName name="Price">Drivers!$R$6:$R$35</definedName>
    <definedName name="RateEquity">Drivers!$AC$13</definedName>
    <definedName name="RateLong">Drivers!$AC$12</definedName>
    <definedName name="RateShort">Drivers!$AC$11</definedName>
    <definedName name="Taxes">Drivers!$AC$21</definedName>
    <definedName name="TermsCollectCash">Drivers!$AC$7</definedName>
    <definedName name="TermsCollectCredit">Drivers!$AC$8</definedName>
    <definedName name="TermsPayCash">Drivers!$AB$7</definedName>
    <definedName name="TermsPayCredit">Drivers!$AB$8</definedName>
    <definedName name="Units">Drivers!$P$6:$P$35</definedName>
    <definedName name="UnitsCAGR">Drivers!$Q$6:$Q$35</definedName>
    <definedName name="ValEvEbitda">Drivers!$AC$17</definedName>
    <definedName name="ValPE">Drivers!$AC$18</definedName>
    <definedName name="ValTerminal">Drivers!$AC$16</definedName>
    <definedName name="WACC">Drivers!$AC$14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9" l="1"/>
  <c r="BR11" i="7"/>
  <c r="BQ11" i="7"/>
  <c r="BP11" i="7"/>
  <c r="BO11" i="7"/>
  <c r="BN11" i="7"/>
  <c r="BM11" i="7"/>
  <c r="BL11" i="7"/>
  <c r="BK11" i="7"/>
  <c r="BJ11" i="7"/>
  <c r="BI11" i="7"/>
  <c r="BH11" i="7"/>
  <c r="BG11" i="7"/>
  <c r="BF11" i="7"/>
  <c r="BE11" i="7"/>
  <c r="BD11" i="7"/>
  <c r="BC11" i="7"/>
  <c r="BB11" i="7"/>
  <c r="BA11" i="7"/>
  <c r="AZ11" i="7"/>
  <c r="AY11" i="7"/>
  <c r="AX11" i="7"/>
  <c r="AW11" i="7"/>
  <c r="AV11" i="7"/>
  <c r="AU11" i="7"/>
  <c r="AT11" i="7"/>
  <c r="AS11" i="7"/>
  <c r="AR11" i="7"/>
  <c r="AQ11" i="7"/>
  <c r="AP11" i="7"/>
  <c r="AO11" i="7"/>
  <c r="AN11" i="7"/>
  <c r="AM11" i="7"/>
  <c r="AL11" i="7"/>
  <c r="AK11" i="7"/>
  <c r="AJ11" i="7"/>
  <c r="AI11" i="7"/>
  <c r="AH11" i="7"/>
  <c r="AG11" i="7"/>
  <c r="AF11" i="7"/>
  <c r="AE11" i="7"/>
  <c r="AD11" i="7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BR10" i="7"/>
  <c r="BQ10" i="7"/>
  <c r="BP10" i="7"/>
  <c r="BO10" i="7"/>
  <c r="BN10" i="7"/>
  <c r="BM10" i="7"/>
  <c r="BL10" i="7"/>
  <c r="BK10" i="7"/>
  <c r="BJ10" i="7"/>
  <c r="BI10" i="7"/>
  <c r="BH10" i="7"/>
  <c r="BG10" i="7"/>
  <c r="BF10" i="7"/>
  <c r="BE10" i="7"/>
  <c r="BD10" i="7"/>
  <c r="BC10" i="7"/>
  <c r="BB10" i="7"/>
  <c r="BA10" i="7"/>
  <c r="AZ10" i="7"/>
  <c r="AY10" i="7"/>
  <c r="AX10" i="7"/>
  <c r="AW10" i="7"/>
  <c r="AV10" i="7"/>
  <c r="AU10" i="7"/>
  <c r="AT10" i="7"/>
  <c r="AS10" i="7"/>
  <c r="AR10" i="7"/>
  <c r="AQ10" i="7"/>
  <c r="AP10" i="7"/>
  <c r="AO10" i="7"/>
  <c r="AN10" i="7"/>
  <c r="AM10" i="7"/>
  <c r="AL10" i="7"/>
  <c r="AK10" i="7"/>
  <c r="AJ10" i="7"/>
  <c r="AI10" i="7"/>
  <c r="AH10" i="7"/>
  <c r="AG10" i="7"/>
  <c r="AF10" i="7"/>
  <c r="AE10" i="7"/>
  <c r="AD10" i="7"/>
  <c r="AC10" i="7"/>
  <c r="AB10" i="7"/>
  <c r="AA10" i="7"/>
  <c r="Z10" i="7"/>
  <c r="Y10" i="7"/>
  <c r="X10" i="7"/>
  <c r="W10" i="7"/>
  <c r="V10" i="7"/>
  <c r="U10" i="7"/>
  <c r="T10" i="7"/>
  <c r="S10" i="7"/>
  <c r="R10" i="7"/>
  <c r="Q10" i="7"/>
  <c r="P10" i="7"/>
  <c r="O10" i="7"/>
  <c r="N10" i="7"/>
  <c r="M10" i="7"/>
  <c r="L10" i="7"/>
  <c r="K11" i="7"/>
  <c r="K10" i="7"/>
  <c r="BR5" i="7"/>
  <c r="BQ5" i="7"/>
  <c r="BP5" i="7"/>
  <c r="BO5" i="7"/>
  <c r="BN5" i="7"/>
  <c r="BM5" i="7"/>
  <c r="BL5" i="7"/>
  <c r="BK5" i="7"/>
  <c r="BJ5" i="7"/>
  <c r="BI5" i="7"/>
  <c r="BH5" i="7"/>
  <c r="BG5" i="7"/>
  <c r="BF5" i="7"/>
  <c r="BE5" i="7"/>
  <c r="BD5" i="7"/>
  <c r="BC5" i="7"/>
  <c r="BB5" i="7"/>
  <c r="BA5" i="7"/>
  <c r="AZ5" i="7"/>
  <c r="AY5" i="7"/>
  <c r="AX5" i="7"/>
  <c r="AW5" i="7"/>
  <c r="AV5" i="7"/>
  <c r="AU5" i="7"/>
  <c r="AT5" i="7"/>
  <c r="AS5" i="7"/>
  <c r="AR5" i="7"/>
  <c r="AQ5" i="7"/>
  <c r="AP5" i="7"/>
  <c r="AO5" i="7"/>
  <c r="AN5" i="7"/>
  <c r="AM5" i="7"/>
  <c r="AL5" i="7"/>
  <c r="AK5" i="7"/>
  <c r="AJ5" i="7"/>
  <c r="AI5" i="7"/>
  <c r="AH5" i="7"/>
  <c r="AG5" i="7"/>
  <c r="AF5" i="7"/>
  <c r="AE5" i="7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M24" i="10"/>
  <c r="M23" i="10"/>
  <c r="M22" i="10"/>
  <c r="M21" i="10"/>
  <c r="M20" i="10"/>
  <c r="M19" i="10"/>
  <c r="BR7" i="7" l="1"/>
  <c r="BR6" i="7"/>
  <c r="L33" i="8" a="1"/>
  <c r="L33" i="8" s="1"/>
  <c r="M33" i="8" a="1"/>
  <c r="M33" i="8" s="1"/>
  <c r="N33" i="8" a="1"/>
  <c r="N33" i="8" s="1"/>
  <c r="O33" i="8" a="1"/>
  <c r="O33" i="8" s="1"/>
  <c r="P33" i="8" a="1"/>
  <c r="P33" i="8" s="1"/>
  <c r="Q33" i="8" a="1"/>
  <c r="Q33" i="8" s="1"/>
  <c r="R33" i="8" a="1"/>
  <c r="R33" i="8" s="1"/>
  <c r="S33" i="8" a="1"/>
  <c r="S33" i="8" s="1"/>
  <c r="T33" i="8" a="1"/>
  <c r="T33" i="8" s="1"/>
  <c r="U33" i="8" a="1"/>
  <c r="U33" i="8" s="1"/>
  <c r="V33" i="8" a="1"/>
  <c r="V33" i="8" s="1"/>
  <c r="W33" i="8" a="1"/>
  <c r="W33" i="8" s="1"/>
  <c r="X33" i="8" a="1"/>
  <c r="X33" i="8" s="1"/>
  <c r="Y33" i="8" a="1"/>
  <c r="Y33" i="8" s="1"/>
  <c r="Z33" i="8" a="1"/>
  <c r="Z33" i="8" s="1"/>
  <c r="AA33" i="8" a="1"/>
  <c r="AA33" i="8" s="1"/>
  <c r="AB33" i="8" a="1"/>
  <c r="AB33" i="8" s="1"/>
  <c r="AC33" i="8" a="1"/>
  <c r="AC33" i="8" s="1"/>
  <c r="AD33" i="8" a="1"/>
  <c r="AD33" i="8" s="1"/>
  <c r="AE33" i="8" a="1"/>
  <c r="AE33" i="8" s="1"/>
  <c r="AF33" i="8" a="1"/>
  <c r="AF33" i="8" s="1"/>
  <c r="AG33" i="8" a="1"/>
  <c r="AG33" i="8" s="1"/>
  <c r="AH33" i="8" a="1"/>
  <c r="AH33" i="8" s="1"/>
  <c r="AI33" i="8" a="1"/>
  <c r="AI33" i="8" s="1"/>
  <c r="AJ33" i="8" a="1"/>
  <c r="AJ33" i="8" s="1"/>
  <c r="AK33" i="8" a="1"/>
  <c r="AK33" i="8" s="1"/>
  <c r="AL33" i="8" a="1"/>
  <c r="AL33" i="8" s="1"/>
  <c r="AM33" i="8" a="1"/>
  <c r="AM33" i="8" s="1"/>
  <c r="AN33" i="8" a="1"/>
  <c r="AN33" i="8" s="1"/>
  <c r="AO33" i="8" a="1"/>
  <c r="AO33" i="8" s="1"/>
  <c r="AP33" i="8" a="1"/>
  <c r="AP33" i="8" s="1"/>
  <c r="AQ33" i="8" a="1"/>
  <c r="AQ33" i="8" s="1"/>
  <c r="AR33" i="8" a="1"/>
  <c r="AR33" i="8" s="1"/>
  <c r="AS33" i="8" a="1"/>
  <c r="AS33" i="8" s="1"/>
  <c r="AT33" i="8" a="1"/>
  <c r="AT33" i="8" s="1"/>
  <c r="AU33" i="8" a="1"/>
  <c r="AU33" i="8" s="1"/>
  <c r="AV33" i="8" a="1"/>
  <c r="AV33" i="8" s="1"/>
  <c r="AW33" i="8" a="1"/>
  <c r="AW33" i="8" s="1"/>
  <c r="AX33" i="8" a="1"/>
  <c r="AX33" i="8" s="1"/>
  <c r="AY33" i="8" a="1"/>
  <c r="AY33" i="8" s="1"/>
  <c r="AZ33" i="8" a="1"/>
  <c r="AZ33" i="8" s="1"/>
  <c r="BA33" i="8" a="1"/>
  <c r="BA33" i="8" s="1"/>
  <c r="BB33" i="8" a="1"/>
  <c r="BB33" i="8" s="1"/>
  <c r="BC33" i="8" a="1"/>
  <c r="BC33" i="8" s="1"/>
  <c r="BD33" i="8" a="1"/>
  <c r="BD33" i="8" s="1"/>
  <c r="BE33" i="8" a="1"/>
  <c r="BE33" i="8" s="1"/>
  <c r="BF33" i="8" a="1"/>
  <c r="BF33" i="8" s="1"/>
  <c r="BG33" i="8" a="1"/>
  <c r="BG33" i="8" s="1"/>
  <c r="BH33" i="8" a="1"/>
  <c r="BH33" i="8" s="1"/>
  <c r="BI33" i="8" a="1"/>
  <c r="BI33" i="8" s="1"/>
  <c r="BJ33" i="8" a="1"/>
  <c r="BJ33" i="8" s="1"/>
  <c r="BK33" i="8" a="1"/>
  <c r="BK33" i="8" s="1"/>
  <c r="BL33" i="8" a="1"/>
  <c r="BL33" i="8" s="1"/>
  <c r="BM33" i="8" a="1"/>
  <c r="BM33" i="8" s="1"/>
  <c r="BN33" i="8" a="1"/>
  <c r="BN33" i="8" s="1"/>
  <c r="BO33" i="8" a="1"/>
  <c r="BO33" i="8" s="1"/>
  <c r="BP33" i="8" a="1"/>
  <c r="BP33" i="8" s="1"/>
  <c r="BQ33" i="8" a="1"/>
  <c r="BQ33" i="8" s="1"/>
  <c r="BR33" i="8" a="1"/>
  <c r="BR33" i="8" s="1"/>
  <c r="M7" i="10"/>
  <c r="M6" i="10"/>
  <c r="BR8" i="9"/>
  <c r="BQ8" i="9"/>
  <c r="BP8" i="9"/>
  <c r="BO8" i="9"/>
  <c r="BN8" i="9"/>
  <c r="BM8" i="9"/>
  <c r="BL8" i="9"/>
  <c r="BK8" i="9"/>
  <c r="BJ8" i="9"/>
  <c r="BI8" i="9"/>
  <c r="BH8" i="9"/>
  <c r="BG8" i="9"/>
  <c r="BF8" i="9"/>
  <c r="BE8" i="9"/>
  <c r="BD8" i="9"/>
  <c r="BC8" i="9"/>
  <c r="BB8" i="9"/>
  <c r="BA8" i="9"/>
  <c r="AZ8" i="9"/>
  <c r="AY8" i="9"/>
  <c r="AX8" i="9"/>
  <c r="AW8" i="9"/>
  <c r="AV8" i="9"/>
  <c r="AU8" i="9"/>
  <c r="AT8" i="9"/>
  <c r="AS8" i="9"/>
  <c r="AR8" i="9"/>
  <c r="AQ8" i="9"/>
  <c r="AP8" i="9"/>
  <c r="AO8" i="9"/>
  <c r="AN8" i="9"/>
  <c r="AM8" i="9"/>
  <c r="AL8" i="9"/>
  <c r="AK8" i="9"/>
  <c r="AJ8" i="9"/>
  <c r="AI8" i="9"/>
  <c r="AH8" i="9"/>
  <c r="AG8" i="9"/>
  <c r="AF8" i="9"/>
  <c r="AE8" i="9"/>
  <c r="AD8" i="9"/>
  <c r="AC8" i="9"/>
  <c r="AB8" i="9"/>
  <c r="AA8" i="9"/>
  <c r="Z8" i="9"/>
  <c r="Y8" i="9"/>
  <c r="X8" i="9"/>
  <c r="W8" i="9"/>
  <c r="V8" i="9"/>
  <c r="U8" i="9"/>
  <c r="T8" i="9"/>
  <c r="S8" i="9"/>
  <c r="R8" i="9"/>
  <c r="Q8" i="9"/>
  <c r="P8" i="9"/>
  <c r="O8" i="9"/>
  <c r="N8" i="9"/>
  <c r="M8" i="9"/>
  <c r="L8" i="9"/>
  <c r="BR7" i="9"/>
  <c r="BQ7" i="9"/>
  <c r="BP7" i="9"/>
  <c r="BO7" i="9"/>
  <c r="BN7" i="9"/>
  <c r="BM7" i="9"/>
  <c r="BL7" i="9"/>
  <c r="BK7" i="9"/>
  <c r="BJ7" i="9"/>
  <c r="BI7" i="9"/>
  <c r="BH7" i="9"/>
  <c r="BG7" i="9"/>
  <c r="BF7" i="9"/>
  <c r="BE7" i="9"/>
  <c r="BD7" i="9"/>
  <c r="BC7" i="9"/>
  <c r="BB7" i="9"/>
  <c r="BA7" i="9"/>
  <c r="AZ7" i="9"/>
  <c r="AY7" i="9"/>
  <c r="AX7" i="9"/>
  <c r="AW7" i="9"/>
  <c r="AV7" i="9"/>
  <c r="AU7" i="9"/>
  <c r="AT7" i="9"/>
  <c r="AS7" i="9"/>
  <c r="AR7" i="9"/>
  <c r="AQ7" i="9"/>
  <c r="AP7" i="9"/>
  <c r="AO7" i="9"/>
  <c r="AN7" i="9"/>
  <c r="AM7" i="9"/>
  <c r="AL7" i="9"/>
  <c r="AK7" i="9"/>
  <c r="AJ7" i="9"/>
  <c r="AI7" i="9"/>
  <c r="AH7" i="9"/>
  <c r="AG7" i="9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8" i="9"/>
  <c r="K24" i="6" s="1"/>
  <c r="K7" i="9"/>
  <c r="K22" i="6" s="1"/>
  <c r="AJ7" i="7" l="1"/>
  <c r="AJ6" i="7"/>
  <c r="AF6" i="7"/>
  <c r="AF7" i="7"/>
  <c r="AS7" i="7"/>
  <c r="AS6" i="7"/>
  <c r="BK6" i="7"/>
  <c r="BK7" i="7"/>
  <c r="AB7" i="7"/>
  <c r="AB6" i="7"/>
  <c r="AY7" i="7"/>
  <c r="AY6" i="7"/>
  <c r="R6" i="7"/>
  <c r="R7" i="7"/>
  <c r="X6" i="7"/>
  <c r="X7" i="7"/>
  <c r="BG6" i="7"/>
  <c r="BG7" i="7"/>
  <c r="BJ7" i="7"/>
  <c r="BJ6" i="7"/>
  <c r="AK7" i="7"/>
  <c r="AK6" i="7"/>
  <c r="AM6" i="7"/>
  <c r="AM7" i="7"/>
  <c r="T7" i="7"/>
  <c r="T6" i="7"/>
  <c r="AQ6" i="7"/>
  <c r="AQ7" i="7"/>
  <c r="BC6" i="7"/>
  <c r="BC7" i="7"/>
  <c r="BM6" i="7"/>
  <c r="BM7" i="7"/>
  <c r="P6" i="7"/>
  <c r="P7" i="7"/>
  <c r="M7" i="7"/>
  <c r="M6" i="7"/>
  <c r="Z6" i="7"/>
  <c r="Z7" i="7"/>
  <c r="BB7" i="7"/>
  <c r="BB6" i="7"/>
  <c r="AC7" i="7"/>
  <c r="AC6" i="7"/>
  <c r="W7" i="7"/>
  <c r="W6" i="7"/>
  <c r="O6" i="7"/>
  <c r="O7" i="7"/>
  <c r="AI7" i="7"/>
  <c r="AI6" i="7"/>
  <c r="BN6" i="7"/>
  <c r="BN7" i="7"/>
  <c r="BE6" i="7"/>
  <c r="BE7" i="7"/>
  <c r="Q6" i="7"/>
  <c r="Q7" i="7"/>
  <c r="AT7" i="7"/>
  <c r="AT6" i="7"/>
  <c r="AU7" i="7"/>
  <c r="AU6" i="7"/>
  <c r="U7" i="7"/>
  <c r="U6" i="7"/>
  <c r="BP7" i="7"/>
  <c r="BP6" i="7"/>
  <c r="AA7" i="7"/>
  <c r="AA6" i="7"/>
  <c r="BF6" i="7"/>
  <c r="BF7" i="7"/>
  <c r="AW6" i="7"/>
  <c r="AW7" i="7"/>
  <c r="BL6" i="7"/>
  <c r="BL7" i="7"/>
  <c r="AL7" i="7"/>
  <c r="AL6" i="7"/>
  <c r="AE7" i="7"/>
  <c r="AE6" i="7"/>
  <c r="N7" i="7"/>
  <c r="N6" i="7"/>
  <c r="BH7" i="7"/>
  <c r="BH6" i="7"/>
  <c r="S7" i="7"/>
  <c r="S6" i="7"/>
  <c r="AX6" i="7"/>
  <c r="AX7" i="7"/>
  <c r="AO6" i="7"/>
  <c r="AO7" i="7"/>
  <c r="BD6" i="7"/>
  <c r="BD7" i="7"/>
  <c r="L7" i="7"/>
  <c r="L6" i="7"/>
  <c r="BA7" i="7"/>
  <c r="BA6" i="7"/>
  <c r="AD7" i="7"/>
  <c r="AD6" i="7"/>
  <c r="BQ7" i="7"/>
  <c r="BQ6" i="7"/>
  <c r="AZ7" i="7"/>
  <c r="AZ6" i="7"/>
  <c r="K6" i="7"/>
  <c r="K7" i="7"/>
  <c r="AP6" i="7"/>
  <c r="AP7" i="7"/>
  <c r="AG6" i="7"/>
  <c r="AG7" i="7"/>
  <c r="AV6" i="7"/>
  <c r="AV7" i="7"/>
  <c r="V7" i="7"/>
  <c r="V6" i="7"/>
  <c r="BI7" i="7"/>
  <c r="BI6" i="7"/>
  <c r="AR7" i="7"/>
  <c r="AR6" i="7"/>
  <c r="BO6" i="7"/>
  <c r="BO7" i="7"/>
  <c r="AH6" i="7"/>
  <c r="AH7" i="7"/>
  <c r="Y6" i="7"/>
  <c r="Y7" i="7"/>
  <c r="AN6" i="7"/>
  <c r="AN7" i="7"/>
  <c r="L22" i="6"/>
  <c r="M22" i="6" s="1"/>
  <c r="N22" i="6" s="1"/>
  <c r="N24" i="9" s="1"/>
  <c r="E11" i="7" l="1"/>
  <c r="L24" i="9"/>
  <c r="M24" i="9"/>
  <c r="O22" i="6"/>
  <c r="S8" i="6"/>
  <c r="AI8" i="6"/>
  <c r="AY8" i="6"/>
  <c r="BG8" i="6"/>
  <c r="BO8" i="6"/>
  <c r="L8" i="6"/>
  <c r="T8" i="6"/>
  <c r="AB8" i="6"/>
  <c r="AJ8" i="6"/>
  <c r="AR8" i="6"/>
  <c r="AZ8" i="6"/>
  <c r="BH8" i="6"/>
  <c r="BP8" i="6"/>
  <c r="AO8" i="6"/>
  <c r="BM8" i="6"/>
  <c r="M8" i="6"/>
  <c r="U8" i="6"/>
  <c r="AC8" i="6"/>
  <c r="AK8" i="6"/>
  <c r="AS8" i="6"/>
  <c r="BA8" i="6"/>
  <c r="BI8" i="6"/>
  <c r="BQ8" i="6"/>
  <c r="Q8" i="6"/>
  <c r="AW8" i="6"/>
  <c r="BE8" i="6"/>
  <c r="V8" i="6"/>
  <c r="AL8" i="6"/>
  <c r="BB8" i="6"/>
  <c r="BR8" i="6"/>
  <c r="O8" i="6"/>
  <c r="W8" i="6"/>
  <c r="AE8" i="6"/>
  <c r="AM8" i="6"/>
  <c r="AU8" i="6"/>
  <c r="BC8" i="6"/>
  <c r="BK8" i="6"/>
  <c r="Y8" i="6"/>
  <c r="K8" i="6"/>
  <c r="AA8" i="6"/>
  <c r="AQ8" i="6"/>
  <c r="N8" i="6"/>
  <c r="AD8" i="6"/>
  <c r="AT8" i="6"/>
  <c r="BJ8" i="6"/>
  <c r="P8" i="6"/>
  <c r="X8" i="6"/>
  <c r="AF8" i="6"/>
  <c r="AN8" i="6"/>
  <c r="AV8" i="6"/>
  <c r="BD8" i="6"/>
  <c r="BL8" i="6"/>
  <c r="AG8" i="6"/>
  <c r="R8" i="6"/>
  <c r="Z8" i="6"/>
  <c r="AH8" i="6"/>
  <c r="AP8" i="6"/>
  <c r="AX8" i="6"/>
  <c r="BF8" i="6"/>
  <c r="BN8" i="6"/>
  <c r="K24" i="9"/>
  <c r="BR6" i="9"/>
  <c r="BQ6" i="9"/>
  <c r="BP6" i="9"/>
  <c r="BO6" i="9"/>
  <c r="BN6" i="9"/>
  <c r="BM6" i="9"/>
  <c r="BL6" i="9"/>
  <c r="BK6" i="9"/>
  <c r="BJ6" i="9"/>
  <c r="BI6" i="9"/>
  <c r="BH6" i="9"/>
  <c r="BG6" i="9"/>
  <c r="BF6" i="9"/>
  <c r="BE6" i="9"/>
  <c r="BD6" i="9"/>
  <c r="BC6" i="9"/>
  <c r="BB6" i="9"/>
  <c r="BA6" i="9"/>
  <c r="AZ6" i="9"/>
  <c r="AY6" i="9"/>
  <c r="AX6" i="9"/>
  <c r="AW6" i="9"/>
  <c r="AV6" i="9"/>
  <c r="AU6" i="9"/>
  <c r="AT6" i="9"/>
  <c r="AS6" i="9"/>
  <c r="AR6" i="9"/>
  <c r="AQ6" i="9"/>
  <c r="AP6" i="9"/>
  <c r="AO6" i="9"/>
  <c r="AN6" i="9"/>
  <c r="AM6" i="9"/>
  <c r="AL6" i="9"/>
  <c r="AK6" i="9"/>
  <c r="AJ6" i="9"/>
  <c r="AI6" i="9"/>
  <c r="AH6" i="9"/>
  <c r="AG6" i="9"/>
  <c r="AF6" i="9"/>
  <c r="AE6" i="9"/>
  <c r="AD6" i="9"/>
  <c r="AC6" i="9"/>
  <c r="AB6" i="9"/>
  <c r="AA6" i="9"/>
  <c r="Z6" i="9"/>
  <c r="Y6" i="9"/>
  <c r="X6" i="9"/>
  <c r="W6" i="9"/>
  <c r="V6" i="9"/>
  <c r="U6" i="9"/>
  <c r="T6" i="9"/>
  <c r="S6" i="9"/>
  <c r="R6" i="9"/>
  <c r="Q6" i="9"/>
  <c r="P6" i="9"/>
  <c r="O6" i="9"/>
  <c r="N6" i="9"/>
  <c r="M6" i="9"/>
  <c r="L6" i="9"/>
  <c r="K6" i="9"/>
  <c r="K26" i="6" s="1"/>
  <c r="M35" i="10"/>
  <c r="M34" i="10"/>
  <c r="M33" i="10"/>
  <c r="M32" i="10"/>
  <c r="M31" i="10"/>
  <c r="M30" i="10"/>
  <c r="M29" i="10"/>
  <c r="M28" i="10"/>
  <c r="M27" i="10"/>
  <c r="M26" i="10"/>
  <c r="M25" i="10"/>
  <c r="M18" i="10"/>
  <c r="M17" i="10"/>
  <c r="M16" i="10"/>
  <c r="M15" i="10"/>
  <c r="M14" i="10"/>
  <c r="M13" i="10"/>
  <c r="M12" i="10"/>
  <c r="M11" i="10"/>
  <c r="M10" i="10"/>
  <c r="M9" i="10"/>
  <c r="M8" i="10"/>
  <c r="BR29" i="8" a="1"/>
  <c r="BR29" i="8" s="1"/>
  <c r="BQ29" i="8" a="1"/>
  <c r="BQ29" i="8" s="1"/>
  <c r="BP29" i="8" a="1"/>
  <c r="BP29" i="8" s="1"/>
  <c r="BO29" i="8" a="1"/>
  <c r="BO29" i="8" s="1"/>
  <c r="BN29" i="8" a="1"/>
  <c r="BN29" i="8" s="1"/>
  <c r="BM29" i="8" a="1"/>
  <c r="BM29" i="8" s="1"/>
  <c r="BL29" i="8" a="1"/>
  <c r="BL29" i="8" s="1"/>
  <c r="BK29" i="8" a="1"/>
  <c r="BK29" i="8" s="1"/>
  <c r="BJ29" i="8" a="1"/>
  <c r="BJ29" i="8" s="1"/>
  <c r="BI29" i="8" a="1"/>
  <c r="BI29" i="8" s="1"/>
  <c r="BH29" i="8" a="1"/>
  <c r="BH29" i="8" s="1"/>
  <c r="BG29" i="8" a="1"/>
  <c r="BG29" i="8" s="1"/>
  <c r="BF29" i="8" a="1"/>
  <c r="BF29" i="8" s="1"/>
  <c r="BE29" i="8" a="1"/>
  <c r="BE29" i="8" s="1"/>
  <c r="BD29" i="8" a="1"/>
  <c r="BD29" i="8" s="1"/>
  <c r="BC29" i="8" a="1"/>
  <c r="BC29" i="8" s="1"/>
  <c r="BB29" i="8" a="1"/>
  <c r="BB29" i="8" s="1"/>
  <c r="BA29" i="8" a="1"/>
  <c r="BA29" i="8" s="1"/>
  <c r="AZ29" i="8" a="1"/>
  <c r="AZ29" i="8" s="1"/>
  <c r="AY29" i="8" a="1"/>
  <c r="AY29" i="8" s="1"/>
  <c r="AX29" i="8" a="1"/>
  <c r="AX29" i="8" s="1"/>
  <c r="AW29" i="8" a="1"/>
  <c r="AW29" i="8" s="1"/>
  <c r="AV29" i="8" a="1"/>
  <c r="AV29" i="8" s="1"/>
  <c r="AU29" i="8" a="1"/>
  <c r="AU29" i="8" s="1"/>
  <c r="AT29" i="8" a="1"/>
  <c r="AT29" i="8" s="1"/>
  <c r="AS29" i="8" a="1"/>
  <c r="AS29" i="8" s="1"/>
  <c r="AR29" i="8" a="1"/>
  <c r="AR29" i="8" s="1"/>
  <c r="AQ29" i="8" a="1"/>
  <c r="AQ29" i="8" s="1"/>
  <c r="AP29" i="8" a="1"/>
  <c r="AP29" i="8" s="1"/>
  <c r="AO29" i="8" a="1"/>
  <c r="AO29" i="8" s="1"/>
  <c r="AN29" i="8" a="1"/>
  <c r="AN29" i="8" s="1"/>
  <c r="AM29" i="8" a="1"/>
  <c r="AM29" i="8" s="1"/>
  <c r="AL29" i="8" a="1"/>
  <c r="AL29" i="8" s="1"/>
  <c r="AK29" i="8" a="1"/>
  <c r="AK29" i="8" s="1"/>
  <c r="AJ29" i="8" a="1"/>
  <c r="AJ29" i="8" s="1"/>
  <c r="AI29" i="8" a="1"/>
  <c r="AI29" i="8" s="1"/>
  <c r="AH29" i="8" a="1"/>
  <c r="AH29" i="8" s="1"/>
  <c r="AG29" i="8" a="1"/>
  <c r="AG29" i="8" s="1"/>
  <c r="AF29" i="8" a="1"/>
  <c r="AF29" i="8" s="1"/>
  <c r="AE29" i="8" a="1"/>
  <c r="AE29" i="8" s="1"/>
  <c r="AD29" i="8" a="1"/>
  <c r="AD29" i="8" s="1"/>
  <c r="AC29" i="8" a="1"/>
  <c r="AC29" i="8" s="1"/>
  <c r="AB29" i="8" a="1"/>
  <c r="AB29" i="8" s="1"/>
  <c r="AA29" i="8" a="1"/>
  <c r="AA29" i="8" s="1"/>
  <c r="Z29" i="8" a="1"/>
  <c r="Z29" i="8" s="1"/>
  <c r="Y29" i="8" a="1"/>
  <c r="Y29" i="8" s="1"/>
  <c r="X29" i="8" a="1"/>
  <c r="X29" i="8" s="1"/>
  <c r="W29" i="8" a="1"/>
  <c r="W29" i="8" s="1"/>
  <c r="V29" i="8" a="1"/>
  <c r="V29" i="8" s="1"/>
  <c r="U29" i="8" a="1"/>
  <c r="U29" i="8" s="1"/>
  <c r="T29" i="8" a="1"/>
  <c r="T29" i="8" s="1"/>
  <c r="S29" i="8" a="1"/>
  <c r="S29" i="8" s="1"/>
  <c r="R29" i="8" a="1"/>
  <c r="R29" i="8" s="1"/>
  <c r="Q29" i="8" a="1"/>
  <c r="Q29" i="8" s="1"/>
  <c r="P29" i="8" a="1"/>
  <c r="P29" i="8" s="1"/>
  <c r="O29" i="8" a="1"/>
  <c r="O29" i="8" s="1"/>
  <c r="N29" i="8" a="1"/>
  <c r="N29" i="8" s="1"/>
  <c r="M29" i="8" a="1"/>
  <c r="M29" i="8" s="1"/>
  <c r="L29" i="8" a="1"/>
  <c r="L29" i="8" s="1"/>
  <c r="G11" i="7" l="1"/>
  <c r="H11" i="7"/>
  <c r="F11" i="7"/>
  <c r="I11" i="7"/>
  <c r="W30" i="8" a="1"/>
  <c r="W30" i="8" s="1"/>
  <c r="AJ31" i="8" a="1"/>
  <c r="AJ31" i="8" s="1"/>
  <c r="BQ31" i="8" a="1"/>
  <c r="BQ31" i="8" s="1"/>
  <c r="AW32" i="8" a="1"/>
  <c r="AW32" i="8" s="1"/>
  <c r="AS31" i="8" a="1"/>
  <c r="AS31" i="8" s="1"/>
  <c r="AU30" i="8" a="1"/>
  <c r="AU30" i="8" s="1"/>
  <c r="K33" i="8" a="1"/>
  <c r="K33" i="8" s="1"/>
  <c r="BK34" i="8" a="1"/>
  <c r="BK34" i="8" s="1"/>
  <c r="Y30" i="8" a="1"/>
  <c r="Y30" i="8" s="1"/>
  <c r="AD31" i="8" a="1"/>
  <c r="AD31" i="8" s="1"/>
  <c r="AI32" i="8" a="1"/>
  <c r="AI32" i="8" s="1"/>
  <c r="AN34" i="8" a="1"/>
  <c r="AN34" i="8" s="1"/>
  <c r="AX30" i="8" a="1"/>
  <c r="AX30" i="8" s="1"/>
  <c r="BC31" i="8" a="1"/>
  <c r="BC31" i="8" s="1"/>
  <c r="BH32" i="8" a="1"/>
  <c r="BH32" i="8" s="1"/>
  <c r="BM34" i="8" a="1"/>
  <c r="BM34" i="8" s="1"/>
  <c r="X31" i="8" a="1"/>
  <c r="X31" i="8" s="1"/>
  <c r="AC32" i="8" a="1"/>
  <c r="AC32" i="8" s="1"/>
  <c r="AH34" i="8" a="1"/>
  <c r="AH34" i="8" s="1"/>
  <c r="BP30" i="8" a="1"/>
  <c r="BP30" i="8" s="1"/>
  <c r="AD32" i="8" a="1"/>
  <c r="AD32" i="8" s="1"/>
  <c r="AI34" i="8" a="1"/>
  <c r="AI34" i="8" s="1"/>
  <c r="T30" i="8" a="1"/>
  <c r="T30" i="8" s="1"/>
  <c r="U30" i="8" a="1"/>
  <c r="U30" i="8" s="1"/>
  <c r="Z31" i="8" a="1"/>
  <c r="Z31" i="8" s="1"/>
  <c r="AE32" i="8" a="1"/>
  <c r="AE32" i="8" s="1"/>
  <c r="AJ34" i="8" a="1"/>
  <c r="AJ34" i="8" s="1"/>
  <c r="AL30" i="8" a="1"/>
  <c r="AL30" i="8" s="1"/>
  <c r="AQ31" i="8" a="1"/>
  <c r="AQ31" i="8" s="1"/>
  <c r="AV32" i="8" a="1"/>
  <c r="AV32" i="8" s="1"/>
  <c r="BA34" i="8" a="1"/>
  <c r="BA34" i="8" s="1"/>
  <c r="BQ34" i="8" a="1"/>
  <c r="BQ34" i="8" s="1"/>
  <c r="BR34" i="8" a="1"/>
  <c r="BR34" i="8" s="1"/>
  <c r="BP31" i="8" a="1"/>
  <c r="BP31" i="8" s="1"/>
  <c r="AP32" i="8" a="1"/>
  <c r="AP32" i="8" s="1"/>
  <c r="V34" i="8" a="1"/>
  <c r="V34" i="8" s="1"/>
  <c r="R32" i="8" a="1"/>
  <c r="R32" i="8" s="1"/>
  <c r="T31" i="8" a="1"/>
  <c r="T31" i="8" s="1"/>
  <c r="P30" i="8" a="1"/>
  <c r="P30" i="8" s="1"/>
  <c r="BC30" i="8" a="1"/>
  <c r="BC30" i="8" s="1"/>
  <c r="AG30" i="8" a="1"/>
  <c r="AG30" i="8" s="1"/>
  <c r="AL31" i="8" a="1"/>
  <c r="AL31" i="8" s="1"/>
  <c r="AQ32" i="8" a="1"/>
  <c r="AQ32" i="8" s="1"/>
  <c r="AV34" i="8" a="1"/>
  <c r="AV34" i="8" s="1"/>
  <c r="BF30" i="8" a="1"/>
  <c r="BF30" i="8" s="1"/>
  <c r="BK31" i="8" a="1"/>
  <c r="BK31" i="8" s="1"/>
  <c r="BP32" i="8" a="1"/>
  <c r="BP32" i="8" s="1"/>
  <c r="AA30" i="8" a="1"/>
  <c r="AA30" i="8" s="1"/>
  <c r="AF31" i="8" a="1"/>
  <c r="AF31" i="8" s="1"/>
  <c r="AK32" i="8" a="1"/>
  <c r="AK32" i="8" s="1"/>
  <c r="AP34" i="8" a="1"/>
  <c r="AP34" i="8" s="1"/>
  <c r="AG31" i="8" a="1"/>
  <c r="AG31" i="8" s="1"/>
  <c r="AL32" i="8" a="1"/>
  <c r="AL32" i="8" s="1"/>
  <c r="AQ34" i="8" a="1"/>
  <c r="AQ34" i="8" s="1"/>
  <c r="AJ30" i="8" a="1"/>
  <c r="AJ30" i="8" s="1"/>
  <c r="AC30" i="8" a="1"/>
  <c r="AC30" i="8" s="1"/>
  <c r="AH31" i="8" a="1"/>
  <c r="AH31" i="8" s="1"/>
  <c r="AM32" i="8" a="1"/>
  <c r="AM32" i="8" s="1"/>
  <c r="AR34" i="8" a="1"/>
  <c r="AR34" i="8" s="1"/>
  <c r="AT30" i="8" a="1"/>
  <c r="AT30" i="8" s="1"/>
  <c r="AY31" i="8" a="1"/>
  <c r="AY31" i="8" s="1"/>
  <c r="BD32" i="8" a="1"/>
  <c r="BD32" i="8" s="1"/>
  <c r="BI34" i="8" a="1"/>
  <c r="BI34" i="8" s="1"/>
  <c r="AB31" i="8" a="1"/>
  <c r="AB31" i="8" s="1"/>
  <c r="AO32" i="8" a="1"/>
  <c r="AO32" i="8" s="1"/>
  <c r="O34" i="8" a="1"/>
  <c r="O34" i="8" s="1"/>
  <c r="BB34" i="8" a="1"/>
  <c r="BB34" i="8" s="1"/>
  <c r="AX32" i="8" a="1"/>
  <c r="AX32" i="8" s="1"/>
  <c r="AZ31" i="8" a="1"/>
  <c r="AZ31" i="8" s="1"/>
  <c r="AV30" i="8" a="1"/>
  <c r="AV30" i="8" s="1"/>
  <c r="BH31" i="8" a="1"/>
  <c r="BH31" i="8" s="1"/>
  <c r="AO30" i="8" a="1"/>
  <c r="AO30" i="8" s="1"/>
  <c r="AT31" i="8" a="1"/>
  <c r="AT31" i="8" s="1"/>
  <c r="AY32" i="8" a="1"/>
  <c r="AY32" i="8" s="1"/>
  <c r="BD34" i="8" a="1"/>
  <c r="BD34" i="8" s="1"/>
  <c r="BN30" i="8" a="1"/>
  <c r="BN30" i="8" s="1"/>
  <c r="L32" i="8" a="1"/>
  <c r="L32" i="8" s="1"/>
  <c r="Q34" i="8" a="1"/>
  <c r="Q34" i="8" s="1"/>
  <c r="AI30" i="8" a="1"/>
  <c r="AI30" i="8" s="1"/>
  <c r="AN31" i="8" a="1"/>
  <c r="AN31" i="8" s="1"/>
  <c r="AS32" i="8" a="1"/>
  <c r="AS32" i="8" s="1"/>
  <c r="AX34" i="8" a="1"/>
  <c r="AX34" i="8" s="1"/>
  <c r="AO31" i="8" a="1"/>
  <c r="AO31" i="8" s="1"/>
  <c r="AT32" i="8" a="1"/>
  <c r="AT32" i="8" s="1"/>
  <c r="AY34" i="8" a="1"/>
  <c r="AY34" i="8" s="1"/>
  <c r="AR30" i="8" a="1"/>
  <c r="AR30" i="8" s="1"/>
  <c r="AK30" i="8" a="1"/>
  <c r="AK30" i="8" s="1"/>
  <c r="AP31" i="8" a="1"/>
  <c r="AP31" i="8" s="1"/>
  <c r="AU32" i="8" a="1"/>
  <c r="AU32" i="8" s="1"/>
  <c r="AZ34" i="8" a="1"/>
  <c r="AZ34" i="8" s="1"/>
  <c r="BB30" i="8" a="1"/>
  <c r="BB30" i="8" s="1"/>
  <c r="BG31" i="8" a="1"/>
  <c r="BG31" i="8" s="1"/>
  <c r="BL32" i="8" a="1"/>
  <c r="BL32" i="8" s="1"/>
  <c r="X30" i="8" a="1"/>
  <c r="X30" i="8" s="1"/>
  <c r="N34" i="8" a="1"/>
  <c r="N34" i="8" s="1"/>
  <c r="AU34" i="8" a="1"/>
  <c r="AU34" i="8" s="1"/>
  <c r="K31" i="8" a="1"/>
  <c r="K31" i="8" s="1"/>
  <c r="W34" i="8" a="1"/>
  <c r="W34" i="8" s="1"/>
  <c r="Y32" i="8" a="1"/>
  <c r="Y32" i="8" s="1"/>
  <c r="U31" i="8" a="1"/>
  <c r="U31" i="8" s="1"/>
  <c r="AG32" i="8" a="1"/>
  <c r="AG32" i="8" s="1"/>
  <c r="AW30" i="8" a="1"/>
  <c r="AW30" i="8" s="1"/>
  <c r="BB31" i="8" a="1"/>
  <c r="BB31" i="8" s="1"/>
  <c r="BG32" i="8" a="1"/>
  <c r="BG32" i="8" s="1"/>
  <c r="BL34" i="8" a="1"/>
  <c r="BL34" i="8" s="1"/>
  <c r="O31" i="8" a="1"/>
  <c r="O31" i="8" s="1"/>
  <c r="T32" i="8" a="1"/>
  <c r="T32" i="8" s="1"/>
  <c r="Y34" i="8" a="1"/>
  <c r="Y34" i="8" s="1"/>
  <c r="AQ30" i="8" a="1"/>
  <c r="AQ30" i="8" s="1"/>
  <c r="AV31" i="8" a="1"/>
  <c r="AV31" i="8" s="1"/>
  <c r="BA32" i="8" a="1"/>
  <c r="BA32" i="8" s="1"/>
  <c r="BF34" i="8" a="1"/>
  <c r="BF34" i="8" s="1"/>
  <c r="AW31" i="8" a="1"/>
  <c r="AW31" i="8" s="1"/>
  <c r="BB32" i="8" a="1"/>
  <c r="BB32" i="8" s="1"/>
  <c r="BG34" i="8" a="1"/>
  <c r="BG34" i="8" s="1"/>
  <c r="BH30" i="8" a="1"/>
  <c r="BH30" i="8" s="1"/>
  <c r="AS30" i="8" a="1"/>
  <c r="AS30" i="8" s="1"/>
  <c r="AX31" i="8" a="1"/>
  <c r="AX31" i="8" s="1"/>
  <c r="BC32" i="8" a="1"/>
  <c r="BC32" i="8" s="1"/>
  <c r="BH34" i="8" a="1"/>
  <c r="BH34" i="8" s="1"/>
  <c r="BJ30" i="8" a="1"/>
  <c r="BJ30" i="8" s="1"/>
  <c r="BO31" i="8" a="1"/>
  <c r="BO31" i="8" s="1"/>
  <c r="M34" i="8" a="1"/>
  <c r="M34" i="8" s="1"/>
  <c r="AM34" i="8" a="1"/>
  <c r="AM34" i="8" s="1"/>
  <c r="AT34" i="8" a="1"/>
  <c r="AT34" i="8" s="1"/>
  <c r="BI31" i="8" a="1"/>
  <c r="BI31" i="8" s="1"/>
  <c r="BN32" i="8" a="1"/>
  <c r="BN32" i="8" s="1"/>
  <c r="BC34" i="8" a="1"/>
  <c r="BC34" i="8" s="1"/>
  <c r="BE32" i="8" a="1"/>
  <c r="BE32" i="8" s="1"/>
  <c r="BA31" i="8" a="1"/>
  <c r="BA31" i="8" s="1"/>
  <c r="BM32" i="8" a="1"/>
  <c r="BM32" i="8" s="1"/>
  <c r="BE30" i="8" a="1"/>
  <c r="BE30" i="8" s="1"/>
  <c r="BJ31" i="8" a="1"/>
  <c r="BJ31" i="8" s="1"/>
  <c r="BO32" i="8" a="1"/>
  <c r="BO32" i="8" s="1"/>
  <c r="R30" i="8" a="1"/>
  <c r="R30" i="8" s="1"/>
  <c r="W31" i="8" a="1"/>
  <c r="W31" i="8" s="1"/>
  <c r="AB32" i="8" a="1"/>
  <c r="AB32" i="8" s="1"/>
  <c r="AG34" i="8" a="1"/>
  <c r="AG34" i="8" s="1"/>
  <c r="AY30" i="8" a="1"/>
  <c r="AY30" i="8" s="1"/>
  <c r="BD31" i="8" a="1"/>
  <c r="BD31" i="8" s="1"/>
  <c r="BI32" i="8" a="1"/>
  <c r="BI32" i="8" s="1"/>
  <c r="BN34" i="8" a="1"/>
  <c r="BN34" i="8" s="1"/>
  <c r="BE31" i="8" a="1"/>
  <c r="BE31" i="8" s="1"/>
  <c r="BJ32" i="8" a="1"/>
  <c r="BJ32" i="8" s="1"/>
  <c r="BO34" i="8" a="1"/>
  <c r="BO34" i="8" s="1"/>
  <c r="Q31" i="8" a="1"/>
  <c r="Q31" i="8" s="1"/>
  <c r="BA30" i="8" a="1"/>
  <c r="BA30" i="8" s="1"/>
  <c r="BF31" i="8" a="1"/>
  <c r="BF31" i="8" s="1"/>
  <c r="BK32" i="8" a="1"/>
  <c r="BK32" i="8" s="1"/>
  <c r="BP34" i="8" a="1"/>
  <c r="BP34" i="8" s="1"/>
  <c r="BR30" i="8" a="1"/>
  <c r="BR30" i="8" s="1"/>
  <c r="P32" i="8" a="1"/>
  <c r="P32" i="8" s="1"/>
  <c r="U34" i="8" a="1"/>
  <c r="U34" i="8" s="1"/>
  <c r="AK34" i="8" a="1"/>
  <c r="AK34" i="8" s="1"/>
  <c r="K32" i="8" a="1"/>
  <c r="K32" i="8" s="1"/>
  <c r="AH32" i="8" a="1"/>
  <c r="AH32" i="8" s="1"/>
  <c r="AM30" i="8" a="1"/>
  <c r="AM30" i="8" s="1"/>
  <c r="L31" i="8" a="1"/>
  <c r="L31" i="8" s="1"/>
  <c r="AC31" i="8" a="1"/>
  <c r="AC31" i="8" s="1"/>
  <c r="AD34" i="8" a="1"/>
  <c r="AD34" i="8" s="1"/>
  <c r="Z32" i="8" a="1"/>
  <c r="Z32" i="8" s="1"/>
  <c r="AL34" i="8" a="1"/>
  <c r="AL34" i="8" s="1"/>
  <c r="BM30" i="8" a="1"/>
  <c r="BM30" i="8" s="1"/>
  <c r="BR31" i="8" a="1"/>
  <c r="BR31" i="8" s="1"/>
  <c r="P34" i="8" a="1"/>
  <c r="P34" i="8" s="1"/>
  <c r="Z30" i="8" a="1"/>
  <c r="Z30" i="8" s="1"/>
  <c r="AE31" i="8" a="1"/>
  <c r="AE31" i="8" s="1"/>
  <c r="AJ32" i="8" a="1"/>
  <c r="AJ32" i="8" s="1"/>
  <c r="AO34" i="8" a="1"/>
  <c r="AO34" i="8" s="1"/>
  <c r="BG30" i="8" a="1"/>
  <c r="BG30" i="8" s="1"/>
  <c r="BL31" i="8" a="1"/>
  <c r="BL31" i="8" s="1"/>
  <c r="BQ32" i="8" a="1"/>
  <c r="BQ32" i="8" s="1"/>
  <c r="K29" i="8" a="1"/>
  <c r="K29" i="8" s="1"/>
  <c r="BM31" i="8" a="1"/>
  <c r="BM31" i="8" s="1"/>
  <c r="BR32" i="8" a="1"/>
  <c r="BR32" i="8" s="1"/>
  <c r="S30" i="8" a="1"/>
  <c r="S30" i="8" s="1"/>
  <c r="Y31" i="8" a="1"/>
  <c r="Y31" i="8" s="1"/>
  <c r="BI30" i="8" a="1"/>
  <c r="BI30" i="8" s="1"/>
  <c r="BN31" i="8" a="1"/>
  <c r="BN31" i="8" s="1"/>
  <c r="L34" i="8" a="1"/>
  <c r="L34" i="8" s="1"/>
  <c r="N30" i="8" a="1"/>
  <c r="N30" i="8" s="1"/>
  <c r="S31" i="8" a="1"/>
  <c r="S31" i="8" s="1"/>
  <c r="X32" i="8" a="1"/>
  <c r="X32" i="8" s="1"/>
  <c r="AC34" i="8" a="1"/>
  <c r="AC34" i="8" s="1"/>
  <c r="AF32" i="8" a="1"/>
  <c r="AF32" i="8" s="1"/>
  <c r="AE30" i="8" a="1"/>
  <c r="AE30" i="8" s="1"/>
  <c r="BL30" i="8" a="1"/>
  <c r="BL30" i="8" s="1"/>
  <c r="AR31" i="8" a="1"/>
  <c r="AR31" i="8" s="1"/>
  <c r="AN30" i="8" a="1"/>
  <c r="AN30" i="8" s="1"/>
  <c r="AF30" i="8" a="1"/>
  <c r="AF30" i="8" s="1"/>
  <c r="BJ34" i="8" a="1"/>
  <c r="BJ34" i="8" s="1"/>
  <c r="BF32" i="8" a="1"/>
  <c r="BF32" i="8" s="1"/>
  <c r="K34" i="8" a="1"/>
  <c r="K34" i="8" s="1"/>
  <c r="N31" i="8" a="1"/>
  <c r="N31" i="8" s="1"/>
  <c r="S32" i="8" a="1"/>
  <c r="S32" i="8" s="1"/>
  <c r="X34" i="8" a="1"/>
  <c r="X34" i="8" s="1"/>
  <c r="AH30" i="8" a="1"/>
  <c r="AH30" i="8" s="1"/>
  <c r="AM31" i="8" a="1"/>
  <c r="AM31" i="8" s="1"/>
  <c r="AR32" i="8" a="1"/>
  <c r="AR32" i="8" s="1"/>
  <c r="AW34" i="8" a="1"/>
  <c r="AW34" i="8" s="1"/>
  <c r="BO30" i="8" a="1"/>
  <c r="BO30" i="8" s="1"/>
  <c r="M32" i="8" a="1"/>
  <c r="M32" i="8" s="1"/>
  <c r="R34" i="8" a="1"/>
  <c r="R34" i="8" s="1"/>
  <c r="AB30" i="8" a="1"/>
  <c r="AB30" i="8" s="1"/>
  <c r="N32" i="8" a="1"/>
  <c r="N32" i="8" s="1"/>
  <c r="S34" i="8" a="1"/>
  <c r="S34" i="8" s="1"/>
  <c r="K30" i="8" a="1"/>
  <c r="K30" i="8" s="1"/>
  <c r="BQ30" i="8" a="1"/>
  <c r="BQ30" i="8" s="1"/>
  <c r="O32" i="8" a="1"/>
  <c r="O32" i="8" s="1"/>
  <c r="T34" i="8" a="1"/>
  <c r="T34" i="8" s="1"/>
  <c r="V30" i="8" a="1"/>
  <c r="V30" i="8" s="1"/>
  <c r="AA31" i="8" a="1"/>
  <c r="AA31" i="8" s="1"/>
  <c r="BK30" i="8" a="1"/>
  <c r="BK30" i="8" s="1"/>
  <c r="AK31" i="8" a="1"/>
  <c r="AK31" i="8" s="1"/>
  <c r="Q32" i="8" a="1"/>
  <c r="Q32" i="8" s="1"/>
  <c r="M31" i="8" a="1"/>
  <c r="M31" i="8" s="1"/>
  <c r="O30" i="8" a="1"/>
  <c r="O30" i="8" s="1"/>
  <c r="BD30" i="8" a="1"/>
  <c r="BD30" i="8" s="1"/>
  <c r="AE34" i="8" a="1"/>
  <c r="AE34" i="8" s="1"/>
  <c r="Q30" i="8" a="1"/>
  <c r="Q30" i="8" s="1"/>
  <c r="V31" i="8" a="1"/>
  <c r="V31" i="8" s="1"/>
  <c r="AA32" i="8" a="1"/>
  <c r="AA32" i="8" s="1"/>
  <c r="AF34" i="8" a="1"/>
  <c r="AF34" i="8" s="1"/>
  <c r="AP30" i="8" a="1"/>
  <c r="AP30" i="8" s="1"/>
  <c r="AU31" i="8" a="1"/>
  <c r="AU31" i="8" s="1"/>
  <c r="AZ32" i="8" a="1"/>
  <c r="AZ32" i="8" s="1"/>
  <c r="BE34" i="8" a="1"/>
  <c r="BE34" i="8" s="1"/>
  <c r="P31" i="8" a="1"/>
  <c r="P31" i="8" s="1"/>
  <c r="U32" i="8" a="1"/>
  <c r="U32" i="8" s="1"/>
  <c r="Z34" i="8" a="1"/>
  <c r="Z34" i="8" s="1"/>
  <c r="AZ30" i="8" a="1"/>
  <c r="AZ30" i="8" s="1"/>
  <c r="V32" i="8" a="1"/>
  <c r="V32" i="8" s="1"/>
  <c r="AA34" i="8" a="1"/>
  <c r="AA34" i="8" s="1"/>
  <c r="L30" i="8" a="1"/>
  <c r="L30" i="8" s="1"/>
  <c r="M30" i="8" a="1"/>
  <c r="M30" i="8" s="1"/>
  <c r="R31" i="8" a="1"/>
  <c r="R31" i="8" s="1"/>
  <c r="W32" i="8" a="1"/>
  <c r="W32" i="8" s="1"/>
  <c r="AB34" i="8" a="1"/>
  <c r="AB34" i="8" s="1"/>
  <c r="AD30" i="8" a="1"/>
  <c r="AD30" i="8" s="1"/>
  <c r="AI31" i="8" a="1"/>
  <c r="AI31" i="8" s="1"/>
  <c r="AN32" i="8" a="1"/>
  <c r="AN32" i="8" s="1"/>
  <c r="AS34" i="8" a="1"/>
  <c r="AS34" i="8" s="1"/>
  <c r="O24" i="9"/>
  <c r="P22" i="6"/>
  <c r="E8" i="6"/>
  <c r="I8" i="6"/>
  <c r="F8" i="6"/>
  <c r="G8" i="6"/>
  <c r="H8" i="6"/>
  <c r="H8" i="9"/>
  <c r="F8" i="9"/>
  <c r="I8" i="9"/>
  <c r="G8" i="9"/>
  <c r="E8" i="9"/>
  <c r="S5" i="8" a="1"/>
  <c r="S5" i="8" s="1"/>
  <c r="H10" i="7" l="1"/>
  <c r="F10" i="7"/>
  <c r="E10" i="7"/>
  <c r="I10" i="7"/>
  <c r="G10" i="7"/>
  <c r="N35" i="8"/>
  <c r="P24" i="9"/>
  <c r="Q22" i="6"/>
  <c r="AW15" i="6"/>
  <c r="AC9" i="10"/>
  <c r="AB9" i="10"/>
  <c r="C18" i="7"/>
  <c r="C15" i="6"/>
  <c r="C14" i="6"/>
  <c r="BQ12" i="6"/>
  <c r="BR10" i="8" a="1"/>
  <c r="BR10" i="8" s="1"/>
  <c r="BQ10" i="8" a="1"/>
  <c r="BQ10" i="8" s="1"/>
  <c r="BP10" i="8" a="1"/>
  <c r="BP10" i="8" s="1"/>
  <c r="BO10" i="8" a="1"/>
  <c r="BO10" i="8" s="1"/>
  <c r="BN10" i="8" a="1"/>
  <c r="BN10" i="8" s="1"/>
  <c r="BM10" i="8" a="1"/>
  <c r="BM10" i="8" s="1"/>
  <c r="BL10" i="8" a="1"/>
  <c r="BL10" i="8" s="1"/>
  <c r="BK10" i="8" a="1"/>
  <c r="BK10" i="8" s="1"/>
  <c r="BJ10" i="8" a="1"/>
  <c r="BJ10" i="8" s="1"/>
  <c r="BI10" i="8" a="1"/>
  <c r="BI10" i="8" s="1"/>
  <c r="BH10" i="8" a="1"/>
  <c r="BH10" i="8" s="1"/>
  <c r="BG10" i="8" a="1"/>
  <c r="BG10" i="8" s="1"/>
  <c r="BF10" i="8" a="1"/>
  <c r="BF10" i="8" s="1"/>
  <c r="BE10" i="8" a="1"/>
  <c r="BE10" i="8" s="1"/>
  <c r="BD10" i="8" a="1"/>
  <c r="BD10" i="8" s="1"/>
  <c r="BC10" i="8" a="1"/>
  <c r="BC10" i="8" s="1"/>
  <c r="BB10" i="8" a="1"/>
  <c r="BB10" i="8" s="1"/>
  <c r="BA10" i="8" a="1"/>
  <c r="BA10" i="8" s="1"/>
  <c r="AZ10" i="8" a="1"/>
  <c r="AZ10" i="8" s="1"/>
  <c r="AY10" i="8" a="1"/>
  <c r="AY10" i="8" s="1"/>
  <c r="AX10" i="8" a="1"/>
  <c r="AX10" i="8" s="1"/>
  <c r="AW10" i="8" a="1"/>
  <c r="AW10" i="8" s="1"/>
  <c r="AV10" i="8" a="1"/>
  <c r="AV10" i="8" s="1"/>
  <c r="AU10" i="8" a="1"/>
  <c r="AU10" i="8" s="1"/>
  <c r="AT10" i="8" a="1"/>
  <c r="AT10" i="8" s="1"/>
  <c r="AS10" i="8" a="1"/>
  <c r="AS10" i="8" s="1"/>
  <c r="AR10" i="8" a="1"/>
  <c r="AR10" i="8" s="1"/>
  <c r="AQ10" i="8" a="1"/>
  <c r="AQ10" i="8" s="1"/>
  <c r="AP10" i="8" a="1"/>
  <c r="AP10" i="8" s="1"/>
  <c r="AO10" i="8" a="1"/>
  <c r="AO10" i="8" s="1"/>
  <c r="AN10" i="8" a="1"/>
  <c r="AN10" i="8" s="1"/>
  <c r="AM10" i="8" a="1"/>
  <c r="AM10" i="8" s="1"/>
  <c r="AL10" i="8" a="1"/>
  <c r="AL10" i="8" s="1"/>
  <c r="AK10" i="8" a="1"/>
  <c r="AK10" i="8" s="1"/>
  <c r="AJ10" i="8" a="1"/>
  <c r="AJ10" i="8" s="1"/>
  <c r="AI10" i="8" a="1"/>
  <c r="AI10" i="8" s="1"/>
  <c r="AH10" i="8" a="1"/>
  <c r="AH10" i="8" s="1"/>
  <c r="AG10" i="8" a="1"/>
  <c r="AG10" i="8" s="1"/>
  <c r="AF10" i="8" a="1"/>
  <c r="AF10" i="8" s="1"/>
  <c r="AE10" i="8" a="1"/>
  <c r="AE10" i="8" s="1"/>
  <c r="AD10" i="8" a="1"/>
  <c r="AD10" i="8" s="1"/>
  <c r="AC10" i="8" a="1"/>
  <c r="AC10" i="8" s="1"/>
  <c r="AB10" i="8" a="1"/>
  <c r="AB10" i="8" s="1"/>
  <c r="AA10" i="8" a="1"/>
  <c r="AA10" i="8" s="1"/>
  <c r="Z10" i="8" a="1"/>
  <c r="Z10" i="8" s="1"/>
  <c r="Y10" i="8" a="1"/>
  <c r="Y10" i="8" s="1"/>
  <c r="X10" i="8" a="1"/>
  <c r="X10" i="8" s="1"/>
  <c r="W10" i="8" a="1"/>
  <c r="W10" i="8" s="1"/>
  <c r="V10" i="8" a="1"/>
  <c r="V10" i="8" s="1"/>
  <c r="U10" i="8" a="1"/>
  <c r="U10" i="8" s="1"/>
  <c r="T10" i="8" a="1"/>
  <c r="T10" i="8" s="1"/>
  <c r="S10" i="8" a="1"/>
  <c r="S10" i="8" s="1"/>
  <c r="R10" i="8" a="1"/>
  <c r="R10" i="8" s="1"/>
  <c r="Q10" i="8" a="1"/>
  <c r="Q10" i="8" s="1"/>
  <c r="P10" i="8" a="1"/>
  <c r="P10" i="8" s="1"/>
  <c r="O10" i="8" a="1"/>
  <c r="O10" i="8" s="1"/>
  <c r="N10" i="8" a="1"/>
  <c r="N10" i="8" s="1"/>
  <c r="M10" i="8" a="1"/>
  <c r="M10" i="8" s="1"/>
  <c r="L10" i="8" a="1"/>
  <c r="L10" i="8" s="1"/>
  <c r="K10" i="8" a="1"/>
  <c r="K10" i="8" s="1"/>
  <c r="BR9" i="8" a="1"/>
  <c r="BR9" i="8" s="1"/>
  <c r="BQ9" i="8" a="1"/>
  <c r="BQ9" i="8" s="1"/>
  <c r="BP9" i="8" a="1"/>
  <c r="BP9" i="8" s="1"/>
  <c r="BO9" i="8" a="1"/>
  <c r="BO9" i="8" s="1"/>
  <c r="BN9" i="8" a="1"/>
  <c r="BN9" i="8" s="1"/>
  <c r="BM9" i="8" a="1"/>
  <c r="BM9" i="8" s="1"/>
  <c r="BL9" i="8" a="1"/>
  <c r="BL9" i="8" s="1"/>
  <c r="BK9" i="8" a="1"/>
  <c r="BK9" i="8" s="1"/>
  <c r="BJ9" i="8" a="1"/>
  <c r="BJ9" i="8" s="1"/>
  <c r="BI9" i="8" a="1"/>
  <c r="BI9" i="8" s="1"/>
  <c r="BH9" i="8" a="1"/>
  <c r="BH9" i="8" s="1"/>
  <c r="BG9" i="8" a="1"/>
  <c r="BG9" i="8" s="1"/>
  <c r="BF9" i="8" a="1"/>
  <c r="BF9" i="8" s="1"/>
  <c r="BE9" i="8" a="1"/>
  <c r="BE9" i="8" s="1"/>
  <c r="BD9" i="8" a="1"/>
  <c r="BD9" i="8" s="1"/>
  <c r="BC9" i="8" a="1"/>
  <c r="BC9" i="8" s="1"/>
  <c r="BB9" i="8" a="1"/>
  <c r="BB9" i="8" s="1"/>
  <c r="BA9" i="8" a="1"/>
  <c r="BA9" i="8" s="1"/>
  <c r="AZ9" i="8" a="1"/>
  <c r="AZ9" i="8" s="1"/>
  <c r="AY9" i="8" a="1"/>
  <c r="AY9" i="8" s="1"/>
  <c r="AX9" i="8" a="1"/>
  <c r="AX9" i="8" s="1"/>
  <c r="AW9" i="8" a="1"/>
  <c r="AW9" i="8" s="1"/>
  <c r="AV9" i="8" a="1"/>
  <c r="AV9" i="8" s="1"/>
  <c r="AU9" i="8" a="1"/>
  <c r="AU9" i="8" s="1"/>
  <c r="AT9" i="8" a="1"/>
  <c r="AT9" i="8" s="1"/>
  <c r="AS9" i="8" a="1"/>
  <c r="AS9" i="8" s="1"/>
  <c r="AR9" i="8" a="1"/>
  <c r="AR9" i="8" s="1"/>
  <c r="AQ9" i="8" a="1"/>
  <c r="AQ9" i="8" s="1"/>
  <c r="AP9" i="8" a="1"/>
  <c r="AP9" i="8" s="1"/>
  <c r="AO9" i="8" a="1"/>
  <c r="AO9" i="8" s="1"/>
  <c r="AN9" i="8" a="1"/>
  <c r="AN9" i="8" s="1"/>
  <c r="AM9" i="8" a="1"/>
  <c r="AM9" i="8" s="1"/>
  <c r="AL9" i="8" a="1"/>
  <c r="AL9" i="8" s="1"/>
  <c r="AK9" i="8" a="1"/>
  <c r="AK9" i="8" s="1"/>
  <c r="AJ9" i="8" a="1"/>
  <c r="AJ9" i="8" s="1"/>
  <c r="AI9" i="8" a="1"/>
  <c r="AI9" i="8" s="1"/>
  <c r="AH9" i="8" a="1"/>
  <c r="AH9" i="8" s="1"/>
  <c r="AG9" i="8" a="1"/>
  <c r="AG9" i="8" s="1"/>
  <c r="AF9" i="8" a="1"/>
  <c r="AF9" i="8" s="1"/>
  <c r="AE9" i="8" a="1"/>
  <c r="AE9" i="8" s="1"/>
  <c r="AD9" i="8" a="1"/>
  <c r="AD9" i="8" s="1"/>
  <c r="AC9" i="8" a="1"/>
  <c r="AC9" i="8" s="1"/>
  <c r="AB9" i="8" a="1"/>
  <c r="AB9" i="8" s="1"/>
  <c r="AA9" i="8" a="1"/>
  <c r="AA9" i="8" s="1"/>
  <c r="Z9" i="8" a="1"/>
  <c r="Z9" i="8" s="1"/>
  <c r="Y9" i="8" a="1"/>
  <c r="Y9" i="8" s="1"/>
  <c r="X9" i="8" a="1"/>
  <c r="X9" i="8" s="1"/>
  <c r="W9" i="8" a="1"/>
  <c r="W9" i="8" s="1"/>
  <c r="V9" i="8" a="1"/>
  <c r="V9" i="8" s="1"/>
  <c r="U9" i="8" a="1"/>
  <c r="U9" i="8" s="1"/>
  <c r="T9" i="8" a="1"/>
  <c r="T9" i="8" s="1"/>
  <c r="S9" i="8" a="1"/>
  <c r="S9" i="8" s="1"/>
  <c r="R9" i="8" a="1"/>
  <c r="R9" i="8" s="1"/>
  <c r="Q9" i="8" a="1"/>
  <c r="Q9" i="8" s="1"/>
  <c r="P9" i="8" a="1"/>
  <c r="P9" i="8" s="1"/>
  <c r="O9" i="8" a="1"/>
  <c r="O9" i="8" s="1"/>
  <c r="N9" i="8" a="1"/>
  <c r="N9" i="8" s="1"/>
  <c r="M9" i="8" a="1"/>
  <c r="M9" i="8" s="1"/>
  <c r="L9" i="8" a="1"/>
  <c r="L9" i="8" s="1"/>
  <c r="K9" i="8" a="1"/>
  <c r="K9" i="8" s="1"/>
  <c r="BR8" i="8" a="1"/>
  <c r="BR8" i="8" s="1"/>
  <c r="BQ8" i="8" a="1"/>
  <c r="BQ8" i="8" s="1"/>
  <c r="BP8" i="8" a="1"/>
  <c r="BP8" i="8" s="1"/>
  <c r="BO8" i="8" a="1"/>
  <c r="BO8" i="8" s="1"/>
  <c r="BN8" i="8" a="1"/>
  <c r="BN8" i="8" s="1"/>
  <c r="BM8" i="8" a="1"/>
  <c r="BM8" i="8" s="1"/>
  <c r="BL8" i="8" a="1"/>
  <c r="BL8" i="8" s="1"/>
  <c r="BK8" i="8" a="1"/>
  <c r="BK8" i="8" s="1"/>
  <c r="BJ8" i="8" a="1"/>
  <c r="BJ8" i="8" s="1"/>
  <c r="BI8" i="8" a="1"/>
  <c r="BI8" i="8" s="1"/>
  <c r="BH8" i="8" a="1"/>
  <c r="BH8" i="8" s="1"/>
  <c r="BG8" i="8" a="1"/>
  <c r="BG8" i="8" s="1"/>
  <c r="BF8" i="8" a="1"/>
  <c r="BF8" i="8" s="1"/>
  <c r="BE8" i="8" a="1"/>
  <c r="BE8" i="8" s="1"/>
  <c r="BD8" i="8" a="1"/>
  <c r="BD8" i="8" s="1"/>
  <c r="BC8" i="8" a="1"/>
  <c r="BC8" i="8" s="1"/>
  <c r="BB8" i="8" a="1"/>
  <c r="BB8" i="8" s="1"/>
  <c r="BA8" i="8" a="1"/>
  <c r="BA8" i="8" s="1"/>
  <c r="AZ8" i="8" a="1"/>
  <c r="AZ8" i="8" s="1"/>
  <c r="AY8" i="8" a="1"/>
  <c r="AY8" i="8" s="1"/>
  <c r="AX8" i="8" a="1"/>
  <c r="AX8" i="8" s="1"/>
  <c r="AW8" i="8" a="1"/>
  <c r="AW8" i="8" s="1"/>
  <c r="AV8" i="8" a="1"/>
  <c r="AV8" i="8" s="1"/>
  <c r="AU8" i="8" a="1"/>
  <c r="AU8" i="8" s="1"/>
  <c r="AT8" i="8" a="1"/>
  <c r="AT8" i="8" s="1"/>
  <c r="AS8" i="8" a="1"/>
  <c r="AS8" i="8" s="1"/>
  <c r="AR8" i="8" a="1"/>
  <c r="AR8" i="8" s="1"/>
  <c r="AQ8" i="8" a="1"/>
  <c r="AQ8" i="8" s="1"/>
  <c r="AP8" i="8" a="1"/>
  <c r="AP8" i="8" s="1"/>
  <c r="AO8" i="8" a="1"/>
  <c r="AO8" i="8" s="1"/>
  <c r="AN8" i="8" a="1"/>
  <c r="AN8" i="8" s="1"/>
  <c r="AM8" i="8" a="1"/>
  <c r="AM8" i="8" s="1"/>
  <c r="AL8" i="8" a="1"/>
  <c r="AL8" i="8" s="1"/>
  <c r="AK8" i="8" a="1"/>
  <c r="AK8" i="8" s="1"/>
  <c r="AJ8" i="8" a="1"/>
  <c r="AJ8" i="8" s="1"/>
  <c r="AI8" i="8" a="1"/>
  <c r="AI8" i="8" s="1"/>
  <c r="AH8" i="8" a="1"/>
  <c r="AH8" i="8" s="1"/>
  <c r="AG8" i="8" a="1"/>
  <c r="AG8" i="8" s="1"/>
  <c r="AF8" i="8" a="1"/>
  <c r="AF8" i="8" s="1"/>
  <c r="AE8" i="8" a="1"/>
  <c r="AE8" i="8" s="1"/>
  <c r="AD8" i="8" a="1"/>
  <c r="AD8" i="8" s="1"/>
  <c r="AC8" i="8" a="1"/>
  <c r="AC8" i="8" s="1"/>
  <c r="AB8" i="8" a="1"/>
  <c r="AB8" i="8" s="1"/>
  <c r="AA8" i="8" a="1"/>
  <c r="AA8" i="8" s="1"/>
  <c r="Z8" i="8" a="1"/>
  <c r="Z8" i="8" s="1"/>
  <c r="Y8" i="8" a="1"/>
  <c r="Y8" i="8" s="1"/>
  <c r="X8" i="8" a="1"/>
  <c r="X8" i="8" s="1"/>
  <c r="W8" i="8" a="1"/>
  <c r="W8" i="8" s="1"/>
  <c r="V8" i="8" a="1"/>
  <c r="V8" i="8" s="1"/>
  <c r="U8" i="8" a="1"/>
  <c r="U8" i="8" s="1"/>
  <c r="T8" i="8" a="1"/>
  <c r="T8" i="8" s="1"/>
  <c r="S8" i="8" a="1"/>
  <c r="S8" i="8" s="1"/>
  <c r="R8" i="8" a="1"/>
  <c r="R8" i="8" s="1"/>
  <c r="Q8" i="8" a="1"/>
  <c r="Q8" i="8" s="1"/>
  <c r="P8" i="8" a="1"/>
  <c r="P8" i="8" s="1"/>
  <c r="O8" i="8" a="1"/>
  <c r="O8" i="8" s="1"/>
  <c r="N8" i="8" a="1"/>
  <c r="N8" i="8" s="1"/>
  <c r="M8" i="8" a="1"/>
  <c r="M8" i="8" s="1"/>
  <c r="L8" i="8" a="1"/>
  <c r="L8" i="8" s="1"/>
  <c r="K8" i="8" a="1"/>
  <c r="K8" i="8" s="1"/>
  <c r="BR7" i="8" a="1"/>
  <c r="BR7" i="8" s="1"/>
  <c r="BQ7" i="8" a="1"/>
  <c r="BQ7" i="8" s="1"/>
  <c r="BP7" i="8" a="1"/>
  <c r="BP7" i="8" s="1"/>
  <c r="BO7" i="8" a="1"/>
  <c r="BO7" i="8" s="1"/>
  <c r="BN7" i="8" a="1"/>
  <c r="BN7" i="8" s="1"/>
  <c r="BM7" i="8" a="1"/>
  <c r="BM7" i="8" s="1"/>
  <c r="BL7" i="8" a="1"/>
  <c r="BL7" i="8" s="1"/>
  <c r="BK7" i="8" a="1"/>
  <c r="BK7" i="8" s="1"/>
  <c r="BJ7" i="8" a="1"/>
  <c r="BJ7" i="8" s="1"/>
  <c r="BI7" i="8" a="1"/>
  <c r="BI7" i="8" s="1"/>
  <c r="BH7" i="8" a="1"/>
  <c r="BH7" i="8" s="1"/>
  <c r="BG7" i="8" a="1"/>
  <c r="BG7" i="8" s="1"/>
  <c r="BF7" i="8" a="1"/>
  <c r="BF7" i="8" s="1"/>
  <c r="BE7" i="8" a="1"/>
  <c r="BE7" i="8" s="1"/>
  <c r="BD7" i="8" a="1"/>
  <c r="BD7" i="8" s="1"/>
  <c r="BC7" i="8" a="1"/>
  <c r="BC7" i="8" s="1"/>
  <c r="BB7" i="8" a="1"/>
  <c r="BB7" i="8" s="1"/>
  <c r="BA7" i="8" a="1"/>
  <c r="BA7" i="8" s="1"/>
  <c r="AZ7" i="8" a="1"/>
  <c r="AZ7" i="8" s="1"/>
  <c r="AY7" i="8" a="1"/>
  <c r="AY7" i="8" s="1"/>
  <c r="AX7" i="8" a="1"/>
  <c r="AX7" i="8" s="1"/>
  <c r="AW7" i="8" a="1"/>
  <c r="AW7" i="8" s="1"/>
  <c r="AV7" i="8" a="1"/>
  <c r="AV7" i="8" s="1"/>
  <c r="AU7" i="8" a="1"/>
  <c r="AU7" i="8" s="1"/>
  <c r="AT7" i="8" a="1"/>
  <c r="AT7" i="8" s="1"/>
  <c r="AS7" i="8" a="1"/>
  <c r="AS7" i="8" s="1"/>
  <c r="AR7" i="8" a="1"/>
  <c r="AR7" i="8" s="1"/>
  <c r="AQ7" i="8" a="1"/>
  <c r="AQ7" i="8" s="1"/>
  <c r="AP7" i="8" a="1"/>
  <c r="AP7" i="8" s="1"/>
  <c r="AO7" i="8" a="1"/>
  <c r="AO7" i="8" s="1"/>
  <c r="AN7" i="8" a="1"/>
  <c r="AN7" i="8" s="1"/>
  <c r="AM7" i="8" a="1"/>
  <c r="AM7" i="8" s="1"/>
  <c r="AL7" i="8" a="1"/>
  <c r="AL7" i="8" s="1"/>
  <c r="AK7" i="8" a="1"/>
  <c r="AK7" i="8" s="1"/>
  <c r="AJ7" i="8" a="1"/>
  <c r="AJ7" i="8" s="1"/>
  <c r="AI7" i="8" a="1"/>
  <c r="AI7" i="8" s="1"/>
  <c r="AH7" i="8" a="1"/>
  <c r="AH7" i="8" s="1"/>
  <c r="AG7" i="8" a="1"/>
  <c r="AG7" i="8" s="1"/>
  <c r="AF7" i="8" a="1"/>
  <c r="AF7" i="8" s="1"/>
  <c r="AE7" i="8" a="1"/>
  <c r="AE7" i="8" s="1"/>
  <c r="AD7" i="8" a="1"/>
  <c r="AD7" i="8" s="1"/>
  <c r="AC7" i="8" a="1"/>
  <c r="AC7" i="8" s="1"/>
  <c r="AB7" i="8" a="1"/>
  <c r="AB7" i="8" s="1"/>
  <c r="AA7" i="8" a="1"/>
  <c r="AA7" i="8" s="1"/>
  <c r="Z7" i="8" a="1"/>
  <c r="Z7" i="8" s="1"/>
  <c r="Y7" i="8" a="1"/>
  <c r="Y7" i="8" s="1"/>
  <c r="X7" i="8" a="1"/>
  <c r="X7" i="8" s="1"/>
  <c r="W7" i="8" a="1"/>
  <c r="W7" i="8" s="1"/>
  <c r="V7" i="8" a="1"/>
  <c r="V7" i="8" s="1"/>
  <c r="U7" i="8" a="1"/>
  <c r="U7" i="8" s="1"/>
  <c r="T7" i="8" a="1"/>
  <c r="T7" i="8" s="1"/>
  <c r="S7" i="8" a="1"/>
  <c r="S7" i="8" s="1"/>
  <c r="R7" i="8" a="1"/>
  <c r="R7" i="8" s="1"/>
  <c r="Q7" i="8" a="1"/>
  <c r="Q7" i="8" s="1"/>
  <c r="P7" i="8" a="1"/>
  <c r="P7" i="8" s="1"/>
  <c r="O7" i="8" a="1"/>
  <c r="O7" i="8" s="1"/>
  <c r="N7" i="8" a="1"/>
  <c r="N7" i="8" s="1"/>
  <c r="M7" i="8" a="1"/>
  <c r="M7" i="8" s="1"/>
  <c r="L7" i="8" a="1"/>
  <c r="L7" i="8" s="1"/>
  <c r="K7" i="8" a="1"/>
  <c r="K7" i="8" s="1"/>
  <c r="BR6" i="8" a="1"/>
  <c r="BR6" i="8" s="1"/>
  <c r="BQ6" i="8" a="1"/>
  <c r="BQ6" i="8" s="1"/>
  <c r="BP6" i="8" a="1"/>
  <c r="BP6" i="8" s="1"/>
  <c r="BO6" i="8" a="1"/>
  <c r="BO6" i="8" s="1"/>
  <c r="BN6" i="8" a="1"/>
  <c r="BN6" i="8" s="1"/>
  <c r="BM6" i="8" a="1"/>
  <c r="BM6" i="8" s="1"/>
  <c r="BL6" i="8" a="1"/>
  <c r="BL6" i="8" s="1"/>
  <c r="BK6" i="8" a="1"/>
  <c r="BK6" i="8" s="1"/>
  <c r="BJ6" i="8" a="1"/>
  <c r="BJ6" i="8" s="1"/>
  <c r="BI6" i="8" a="1"/>
  <c r="BI6" i="8" s="1"/>
  <c r="BH6" i="8" a="1"/>
  <c r="BH6" i="8" s="1"/>
  <c r="BG6" i="8" a="1"/>
  <c r="BG6" i="8" s="1"/>
  <c r="BF6" i="8" a="1"/>
  <c r="BF6" i="8" s="1"/>
  <c r="BE6" i="8" a="1"/>
  <c r="BE6" i="8" s="1"/>
  <c r="BD6" i="8" a="1"/>
  <c r="BD6" i="8" s="1"/>
  <c r="BC6" i="8" a="1"/>
  <c r="BC6" i="8" s="1"/>
  <c r="BB6" i="8" a="1"/>
  <c r="BB6" i="8" s="1"/>
  <c r="BA6" i="8" a="1"/>
  <c r="BA6" i="8" s="1"/>
  <c r="AZ6" i="8" a="1"/>
  <c r="AZ6" i="8" s="1"/>
  <c r="AY6" i="8" a="1"/>
  <c r="AY6" i="8" s="1"/>
  <c r="AX6" i="8" a="1"/>
  <c r="AX6" i="8" s="1"/>
  <c r="AW6" i="8" a="1"/>
  <c r="AW6" i="8" s="1"/>
  <c r="AV6" i="8" a="1"/>
  <c r="AV6" i="8" s="1"/>
  <c r="AU6" i="8" a="1"/>
  <c r="AU6" i="8" s="1"/>
  <c r="AT6" i="8" a="1"/>
  <c r="AT6" i="8" s="1"/>
  <c r="AS6" i="8" a="1"/>
  <c r="AS6" i="8" s="1"/>
  <c r="AR6" i="8" a="1"/>
  <c r="AR6" i="8" s="1"/>
  <c r="AQ6" i="8" a="1"/>
  <c r="AQ6" i="8" s="1"/>
  <c r="AP6" i="8" a="1"/>
  <c r="AP6" i="8" s="1"/>
  <c r="AO6" i="8" a="1"/>
  <c r="AO6" i="8" s="1"/>
  <c r="AN6" i="8" a="1"/>
  <c r="AN6" i="8" s="1"/>
  <c r="AM6" i="8" a="1"/>
  <c r="AM6" i="8" s="1"/>
  <c r="AL6" i="8" a="1"/>
  <c r="AL6" i="8" s="1"/>
  <c r="AK6" i="8" a="1"/>
  <c r="AK6" i="8" s="1"/>
  <c r="AJ6" i="8" a="1"/>
  <c r="AJ6" i="8" s="1"/>
  <c r="AI6" i="8" a="1"/>
  <c r="AI6" i="8" s="1"/>
  <c r="AH6" i="8" a="1"/>
  <c r="AH6" i="8" s="1"/>
  <c r="AG6" i="8" a="1"/>
  <c r="AG6" i="8" s="1"/>
  <c r="AF6" i="8" a="1"/>
  <c r="AF6" i="8" s="1"/>
  <c r="AE6" i="8" a="1"/>
  <c r="AE6" i="8" s="1"/>
  <c r="AD6" i="8" a="1"/>
  <c r="AD6" i="8" s="1"/>
  <c r="AC6" i="8" a="1"/>
  <c r="AC6" i="8" s="1"/>
  <c r="AB6" i="8" a="1"/>
  <c r="AB6" i="8" s="1"/>
  <c r="AA6" i="8" a="1"/>
  <c r="AA6" i="8" s="1"/>
  <c r="Z6" i="8" a="1"/>
  <c r="Z6" i="8" s="1"/>
  <c r="Y6" i="8" a="1"/>
  <c r="Y6" i="8" s="1"/>
  <c r="X6" i="8" a="1"/>
  <c r="X6" i="8" s="1"/>
  <c r="W6" i="8" a="1"/>
  <c r="W6" i="8" s="1"/>
  <c r="V6" i="8" a="1"/>
  <c r="V6" i="8" s="1"/>
  <c r="U6" i="8" a="1"/>
  <c r="U6" i="8" s="1"/>
  <c r="T6" i="8" a="1"/>
  <c r="T6" i="8" s="1"/>
  <c r="S6" i="8" a="1"/>
  <c r="S6" i="8" s="1"/>
  <c r="R6" i="8" a="1"/>
  <c r="R6" i="8" s="1"/>
  <c r="Q6" i="8" a="1"/>
  <c r="Q6" i="8" s="1"/>
  <c r="P6" i="8" a="1"/>
  <c r="P6" i="8" s="1"/>
  <c r="O6" i="8" a="1"/>
  <c r="O6" i="8" s="1"/>
  <c r="N6" i="8" a="1"/>
  <c r="N6" i="8" s="1"/>
  <c r="M6" i="8" a="1"/>
  <c r="M6" i="8" s="1"/>
  <c r="L6" i="8" a="1"/>
  <c r="L6" i="8" s="1"/>
  <c r="K6" i="8" a="1"/>
  <c r="K6" i="8" s="1"/>
  <c r="BR5" i="8" a="1"/>
  <c r="BR5" i="8" s="1"/>
  <c r="BQ5" i="8" a="1"/>
  <c r="BQ5" i="8" s="1"/>
  <c r="BP5" i="8" a="1"/>
  <c r="BP5" i="8" s="1"/>
  <c r="BO5" i="8" a="1"/>
  <c r="BO5" i="8" s="1"/>
  <c r="BN5" i="8" a="1"/>
  <c r="BN5" i="8" s="1"/>
  <c r="BM5" i="8" a="1"/>
  <c r="BM5" i="8" s="1"/>
  <c r="BL5" i="8" a="1"/>
  <c r="BL5" i="8" s="1"/>
  <c r="BK5" i="8" a="1"/>
  <c r="BK5" i="8" s="1"/>
  <c r="BJ5" i="8" a="1"/>
  <c r="BJ5" i="8" s="1"/>
  <c r="BI5" i="8" a="1"/>
  <c r="BI5" i="8" s="1"/>
  <c r="BH5" i="8" a="1"/>
  <c r="BH5" i="8" s="1"/>
  <c r="BG5" i="8" a="1"/>
  <c r="BG5" i="8" s="1"/>
  <c r="BF5" i="8" a="1"/>
  <c r="BF5" i="8" s="1"/>
  <c r="BE5" i="8" a="1"/>
  <c r="BE5" i="8" s="1"/>
  <c r="BD5" i="8" a="1"/>
  <c r="BD5" i="8" s="1"/>
  <c r="BC5" i="8" a="1"/>
  <c r="BC5" i="8" s="1"/>
  <c r="BB5" i="8" a="1"/>
  <c r="BB5" i="8" s="1"/>
  <c r="BA5" i="8" a="1"/>
  <c r="BA5" i="8" s="1"/>
  <c r="AZ5" i="8" a="1"/>
  <c r="AZ5" i="8" s="1"/>
  <c r="AY5" i="8" a="1"/>
  <c r="AY5" i="8" s="1"/>
  <c r="AX5" i="8" a="1"/>
  <c r="AX5" i="8" s="1"/>
  <c r="AW5" i="8" a="1"/>
  <c r="AW5" i="8" s="1"/>
  <c r="AV5" i="8" a="1"/>
  <c r="AV5" i="8" s="1"/>
  <c r="AU5" i="8" a="1"/>
  <c r="AU5" i="8" s="1"/>
  <c r="AT5" i="8" a="1"/>
  <c r="AT5" i="8" s="1"/>
  <c r="AS5" i="8" a="1"/>
  <c r="AS5" i="8" s="1"/>
  <c r="AR5" i="8" a="1"/>
  <c r="AR5" i="8" s="1"/>
  <c r="AQ5" i="8" a="1"/>
  <c r="AQ5" i="8" s="1"/>
  <c r="AP5" i="8" a="1"/>
  <c r="AP5" i="8" s="1"/>
  <c r="AO5" i="8" a="1"/>
  <c r="AO5" i="8" s="1"/>
  <c r="AN5" i="8" a="1"/>
  <c r="AN5" i="8" s="1"/>
  <c r="AM5" i="8" a="1"/>
  <c r="AM5" i="8" s="1"/>
  <c r="AL5" i="8" a="1"/>
  <c r="AL5" i="8" s="1"/>
  <c r="AK5" i="8" a="1"/>
  <c r="AK5" i="8" s="1"/>
  <c r="AJ5" i="8" a="1"/>
  <c r="AJ5" i="8" s="1"/>
  <c r="AI5" i="8" a="1"/>
  <c r="AI5" i="8" s="1"/>
  <c r="AH5" i="8" a="1"/>
  <c r="AH5" i="8" s="1"/>
  <c r="AG5" i="8" a="1"/>
  <c r="AG5" i="8" s="1"/>
  <c r="AF5" i="8" a="1"/>
  <c r="AF5" i="8" s="1"/>
  <c r="AE5" i="8" a="1"/>
  <c r="AE5" i="8" s="1"/>
  <c r="AD5" i="8" a="1"/>
  <c r="AD5" i="8" s="1"/>
  <c r="AC5" i="8" a="1"/>
  <c r="AC5" i="8" s="1"/>
  <c r="AB5" i="8" a="1"/>
  <c r="AB5" i="8" s="1"/>
  <c r="AA5" i="8" a="1"/>
  <c r="AA5" i="8" s="1"/>
  <c r="Z5" i="8" a="1"/>
  <c r="Z5" i="8" s="1"/>
  <c r="Y5" i="8" a="1"/>
  <c r="Y5" i="8" s="1"/>
  <c r="X5" i="8" a="1"/>
  <c r="X5" i="8" s="1"/>
  <c r="W5" i="8" a="1"/>
  <c r="W5" i="8" s="1"/>
  <c r="V5" i="8" a="1"/>
  <c r="V5" i="8" s="1"/>
  <c r="U5" i="8" a="1"/>
  <c r="U5" i="8" s="1"/>
  <c r="T5" i="8" a="1"/>
  <c r="T5" i="8" s="1"/>
  <c r="R5" i="8" a="1"/>
  <c r="R5" i="8" s="1"/>
  <c r="Q5" i="8" a="1"/>
  <c r="Q5" i="8" s="1"/>
  <c r="P5" i="8" a="1"/>
  <c r="P5" i="8" s="1"/>
  <c r="O5" i="8" a="1"/>
  <c r="O5" i="8" s="1"/>
  <c r="N5" i="8" a="1"/>
  <c r="N5" i="8" s="1"/>
  <c r="M5" i="8" a="1"/>
  <c r="M5" i="8" s="1"/>
  <c r="L5" i="8" a="1"/>
  <c r="L5" i="8" s="1"/>
  <c r="K5" i="8" a="1"/>
  <c r="K5" i="8" s="1"/>
  <c r="N25" i="4"/>
  <c r="N22" i="4"/>
  <c r="BB16" i="8" l="1" a="1"/>
  <c r="BB16" i="8" s="1"/>
  <c r="BF14" i="8" a="1"/>
  <c r="BF14" i="8" s="1"/>
  <c r="Z13" i="8" a="1"/>
  <c r="Z13" i="8" s="1"/>
  <c r="BQ14" i="8" a="1"/>
  <c r="BQ14" i="8" s="1"/>
  <c r="AK16" i="8" a="1"/>
  <c r="AK16" i="8" s="1"/>
  <c r="BF13" i="8" a="1"/>
  <c r="BF13" i="8" s="1"/>
  <c r="W16" i="8" a="1"/>
  <c r="W16" i="8" s="1"/>
  <c r="AK13" i="8" a="1"/>
  <c r="AK13" i="8" s="1"/>
  <c r="AE14" i="8" a="1"/>
  <c r="AE14" i="8" s="1"/>
  <c r="Y16" i="8" a="1"/>
  <c r="Y16" i="8" s="1"/>
  <c r="AD13" i="8" a="1"/>
  <c r="AD13" i="8" s="1"/>
  <c r="AP18" i="8" a="1"/>
  <c r="AP18" i="8" s="1"/>
  <c r="V14" i="8" a="1"/>
  <c r="V14" i="8" s="1"/>
  <c r="BN15" i="8" a="1"/>
  <c r="BN15" i="8" s="1"/>
  <c r="BG18" i="8" a="1"/>
  <c r="BG18" i="8" s="1"/>
  <c r="AT14" i="8" a="1"/>
  <c r="AT14" i="8" s="1"/>
  <c r="AC15" i="8" a="1"/>
  <c r="AC15" i="8" s="1"/>
  <c r="AQ14" i="8" a="1"/>
  <c r="AQ14" i="8" s="1"/>
  <c r="Y15" i="8" a="1"/>
  <c r="Y15" i="8" s="1"/>
  <c r="S13" i="8" a="1"/>
  <c r="S13" i="8" s="1"/>
  <c r="AL14" i="8" a="1"/>
  <c r="AL14" i="8" s="1"/>
  <c r="BL18" i="8" a="1"/>
  <c r="BL18" i="8" s="1"/>
  <c r="BD15" i="8" a="1"/>
  <c r="BD15" i="8" s="1"/>
  <c r="BH15" i="8" a="1"/>
  <c r="BH15" i="8" s="1"/>
  <c r="AS16" i="8" a="1"/>
  <c r="AS16" i="8" s="1"/>
  <c r="AG16" i="8" a="1"/>
  <c r="AG16" i="8" s="1"/>
  <c r="Q16" i="8" a="1"/>
  <c r="Q16" i="8" s="1"/>
  <c r="Q14" i="8" a="1"/>
  <c r="Q14" i="8" s="1"/>
  <c r="N13" i="8" a="1"/>
  <c r="N13" i="8" s="1"/>
  <c r="AY14" i="8" a="1"/>
  <c r="AY14" i="8" s="1"/>
  <c r="AN18" i="8" a="1"/>
  <c r="AN18" i="8" s="1"/>
  <c r="BO18" i="8" a="1"/>
  <c r="BO18" i="8" s="1"/>
  <c r="AY18" i="8" a="1"/>
  <c r="AY18" i="8" s="1"/>
  <c r="AG14" i="8" a="1"/>
  <c r="AG14" i="8" s="1"/>
  <c r="AU14" i="8" a="1"/>
  <c r="AU14" i="8" s="1"/>
  <c r="V18" i="8" a="1"/>
  <c r="V18" i="8" s="1"/>
  <c r="AX18" i="8" a="1"/>
  <c r="AX18" i="8" s="1"/>
  <c r="BN13" i="8" a="1"/>
  <c r="BN13" i="8" s="1"/>
  <c r="AZ14" i="8" a="1"/>
  <c r="AZ14" i="8" s="1"/>
  <c r="AU13" i="8" a="1"/>
  <c r="AU13" i="8" s="1"/>
  <c r="AI15" i="8" a="1"/>
  <c r="AI15" i="8" s="1"/>
  <c r="BA18" i="8" a="1"/>
  <c r="BA18" i="8" s="1"/>
  <c r="BJ13" i="8" a="1"/>
  <c r="BJ13" i="8" s="1"/>
  <c r="AQ15" i="8" a="1"/>
  <c r="AQ15" i="8" s="1"/>
  <c r="AL18" i="8" a="1"/>
  <c r="AL18" i="8" s="1"/>
  <c r="O18" i="8" a="1"/>
  <c r="O18" i="8" s="1"/>
  <c r="AB16" i="8" a="1"/>
  <c r="AB16" i="8" s="1"/>
  <c r="Z14" i="8" a="1"/>
  <c r="Z14" i="8" s="1"/>
  <c r="AW13" i="8" a="1"/>
  <c r="AW13" i="8" s="1"/>
  <c r="AS13" i="8" a="1"/>
  <c r="AS13" i="8" s="1"/>
  <c r="R15" i="8" a="1"/>
  <c r="R15" i="8" s="1"/>
  <c r="BE18" i="8" a="1"/>
  <c r="BE18" i="8" s="1"/>
  <c r="AV16" i="8" a="1"/>
  <c r="AV16" i="8" s="1"/>
  <c r="R16" i="8" a="1"/>
  <c r="R16" i="8" s="1"/>
  <c r="AJ18" i="8" a="1"/>
  <c r="AJ18" i="8" s="1"/>
  <c r="BO13" i="8" a="1"/>
  <c r="BO13" i="8" s="1"/>
  <c r="AN15" i="8" a="1"/>
  <c r="AN15" i="8" s="1"/>
  <c r="N18" i="8" a="1"/>
  <c r="N18" i="8" s="1"/>
  <c r="AC13" i="8" a="1"/>
  <c r="AC13" i="8" s="1"/>
  <c r="BI14" i="8" a="1"/>
  <c r="BI14" i="8" s="1"/>
  <c r="AF15" i="8" a="1"/>
  <c r="AF15" i="8" s="1"/>
  <c r="AJ14" i="8" a="1"/>
  <c r="AJ14" i="8" s="1"/>
  <c r="AB15" i="8" a="1"/>
  <c r="AB15" i="8" s="1"/>
  <c r="BK16" i="8" a="1"/>
  <c r="BK16" i="8" s="1"/>
  <c r="AG18" i="8" a="1"/>
  <c r="AG18" i="8" s="1"/>
  <c r="AH13" i="8" a="1"/>
  <c r="AH13" i="8" s="1"/>
  <c r="T15" i="8" a="1"/>
  <c r="T15" i="8" s="1"/>
  <c r="BC16" i="8" a="1"/>
  <c r="BC16" i="8" s="1"/>
  <c r="Y18" i="8" a="1"/>
  <c r="Y18" i="8" s="1"/>
  <c r="AE16" i="8" a="1"/>
  <c r="AE16" i="8" s="1"/>
  <c r="L15" i="8" a="1"/>
  <c r="L15" i="8" s="1"/>
  <c r="AU16" i="8" a="1"/>
  <c r="AU16" i="8" s="1"/>
  <c r="AX13" i="8" a="1"/>
  <c r="AX13" i="8" s="1"/>
  <c r="BA13" i="8" a="1"/>
  <c r="BA13" i="8" s="1"/>
  <c r="M18" i="8" a="1"/>
  <c r="M18" i="8" s="1"/>
  <c r="AR13" i="8" a="1"/>
  <c r="AR13" i="8" s="1"/>
  <c r="AW15" i="8" a="1"/>
  <c r="AW15" i="8" s="1"/>
  <c r="BR18" i="8" a="1"/>
  <c r="BR18" i="8" s="1"/>
  <c r="V15" i="8" a="1"/>
  <c r="V15" i="8" s="1"/>
  <c r="AL15" i="8" a="1"/>
  <c r="AL15" i="8" s="1"/>
  <c r="AW14" i="8" a="1"/>
  <c r="AW14" i="8" s="1"/>
  <c r="P13" i="8" a="1"/>
  <c r="P13" i="8" s="1"/>
  <c r="BK18" i="8" a="1"/>
  <c r="BK18" i="8" s="1"/>
  <c r="O15" i="8" a="1"/>
  <c r="O15" i="8" s="1"/>
  <c r="X13" i="8" a="1"/>
  <c r="X13" i="8" s="1"/>
  <c r="AU18" i="8" a="1"/>
  <c r="AU18" i="8" s="1"/>
  <c r="AD18" i="8" a="1"/>
  <c r="AD18" i="8" s="1"/>
  <c r="AR18" i="8" a="1"/>
  <c r="AR18" i="8" s="1"/>
  <c r="M14" i="8" a="1"/>
  <c r="M14" i="8" s="1"/>
  <c r="BA16" i="8" a="1"/>
  <c r="BA16" i="8" s="1"/>
  <c r="AO15" i="8" a="1"/>
  <c r="AO15" i="8" s="1"/>
  <c r="M15" i="8" a="1"/>
  <c r="M15" i="8" s="1"/>
  <c r="AF16" i="8" a="1"/>
  <c r="AF16" i="8" s="1"/>
  <c r="AH18" i="8" a="1"/>
  <c r="AH18" i="8" s="1"/>
  <c r="AI14" i="8" a="1"/>
  <c r="AI14" i="8" s="1"/>
  <c r="BQ15" i="8" a="1"/>
  <c r="BQ15" i="8" s="1"/>
  <c r="AB18" i="8" a="1"/>
  <c r="AB18" i="8" s="1"/>
  <c r="BG13" i="8" a="1"/>
  <c r="BG13" i="8" s="1"/>
  <c r="AA14" i="8" a="1"/>
  <c r="AA14" i="8" s="1"/>
  <c r="BI16" i="8" a="1"/>
  <c r="BI16" i="8" s="1"/>
  <c r="W14" i="8" a="1"/>
  <c r="W14" i="8" s="1"/>
  <c r="BF15" i="8" a="1"/>
  <c r="BF15" i="8" s="1"/>
  <c r="AC16" i="8" a="1"/>
  <c r="AC16" i="8" s="1"/>
  <c r="BJ18" i="8" a="1"/>
  <c r="BJ18" i="8" s="1"/>
  <c r="O14" i="8" a="1"/>
  <c r="O14" i="8" s="1"/>
  <c r="AX15" i="8" a="1"/>
  <c r="AX15" i="8" s="1"/>
  <c r="U16" i="8" a="1"/>
  <c r="U16" i="8" s="1"/>
  <c r="BB18" i="8" a="1"/>
  <c r="BB18" i="8" s="1"/>
  <c r="BQ13" i="8" a="1"/>
  <c r="BQ13" i="8" s="1"/>
  <c r="AP15" i="8" a="1"/>
  <c r="AP15" i="8" s="1"/>
  <c r="Q18" i="8" a="1"/>
  <c r="Q18" i="8" s="1"/>
  <c r="U14" i="8" a="1"/>
  <c r="U14" i="8" s="1"/>
  <c r="BP15" i="8" a="1"/>
  <c r="BP15" i="8" s="1"/>
  <c r="AQ18" i="8" a="1"/>
  <c r="AQ18" i="8" s="1"/>
  <c r="AR14" i="8" a="1"/>
  <c r="AR14" i="8" s="1"/>
  <c r="BM14" i="8" a="1"/>
  <c r="BM14" i="8" s="1"/>
  <c r="AA16" i="8" a="1"/>
  <c r="AA16" i="8" s="1"/>
  <c r="AQ16" i="8" a="1"/>
  <c r="AQ16" i="8" s="1"/>
  <c r="BB15" i="8" a="1"/>
  <c r="BB15" i="8" s="1"/>
  <c r="R14" i="8" a="1"/>
  <c r="R14" i="8" s="1"/>
  <c r="AN13" i="8" a="1"/>
  <c r="AN13" i="8" s="1"/>
  <c r="L16" i="8" a="1"/>
  <c r="L16" i="8" s="1"/>
  <c r="K15" i="8" a="1"/>
  <c r="K15" i="8" s="1"/>
  <c r="P14" i="8" a="1"/>
  <c r="P14" i="8" s="1"/>
  <c r="AN16" i="8" a="1"/>
  <c r="AN16" i="8" s="1"/>
  <c r="K13" i="8" a="1"/>
  <c r="K13" i="8" s="1"/>
  <c r="AV15" i="8" a="1"/>
  <c r="AV15" i="8" s="1"/>
  <c r="BM18" i="8" a="1"/>
  <c r="BM18" i="8" s="1"/>
  <c r="BR13" i="8" a="1"/>
  <c r="BR13" i="8" s="1"/>
  <c r="AA15" i="8" a="1"/>
  <c r="AA15" i="8" s="1"/>
  <c r="AD16" i="8" a="1"/>
  <c r="AD16" i="8" s="1"/>
  <c r="AG13" i="8" a="1"/>
  <c r="AG13" i="8" s="1"/>
  <c r="BL14" i="8" a="1"/>
  <c r="BL14" i="8" s="1"/>
  <c r="X16" i="8" a="1"/>
  <c r="X16" i="8" s="1"/>
  <c r="Z18" i="8" a="1"/>
  <c r="Z18" i="8" s="1"/>
  <c r="Y13" i="8" a="1"/>
  <c r="Y13" i="8" s="1"/>
  <c r="BN16" i="8" a="1"/>
  <c r="BN16" i="8" s="1"/>
  <c r="U13" i="8" a="1"/>
  <c r="U13" i="8" s="1"/>
  <c r="BA14" i="8" a="1"/>
  <c r="BA14" i="8" s="1"/>
  <c r="X15" i="8" a="1"/>
  <c r="X15" i="8" s="1"/>
  <c r="BF16" i="8" a="1"/>
  <c r="BF16" i="8" s="1"/>
  <c r="M13" i="8" a="1"/>
  <c r="M13" i="8" s="1"/>
  <c r="AS14" i="8" a="1"/>
  <c r="AS14" i="8" s="1"/>
  <c r="P15" i="8" a="1"/>
  <c r="P15" i="8" s="1"/>
  <c r="AX16" i="8" a="1"/>
  <c r="AX16" i="8" s="1"/>
  <c r="BP18" i="8" a="1"/>
  <c r="BP18" i="8" s="1"/>
  <c r="AK14" i="8" a="1"/>
  <c r="AK14" i="8" s="1"/>
  <c r="M16" i="8" a="1"/>
  <c r="M16" i="8" s="1"/>
  <c r="AT16" i="8" a="1"/>
  <c r="AT16" i="8" s="1"/>
  <c r="BK14" i="8" a="1"/>
  <c r="BK14" i="8" s="1"/>
  <c r="AM16" i="8" a="1"/>
  <c r="AM16" i="8" s="1"/>
  <c r="AP13" i="8" a="1"/>
  <c r="AP13" i="8" s="1"/>
  <c r="K14" i="8" a="1"/>
  <c r="K14" i="8" s="1"/>
  <c r="W13" i="8" a="1"/>
  <c r="W13" i="8" s="1"/>
  <c r="BK13" i="8" a="1"/>
  <c r="BK13" i="8" s="1"/>
  <c r="BG16" i="8" a="1"/>
  <c r="BG16" i="8" s="1"/>
  <c r="W15" i="8" a="1"/>
  <c r="W15" i="8" s="1"/>
  <c r="AH14" i="8" a="1"/>
  <c r="AH14" i="8" s="1"/>
  <c r="W18" i="8" a="1"/>
  <c r="W18" i="8" s="1"/>
  <c r="BN14" i="8" a="1"/>
  <c r="BN14" i="8" s="1"/>
  <c r="AQ13" i="8" a="1"/>
  <c r="AQ13" i="8" s="1"/>
  <c r="K16" i="8" a="1"/>
  <c r="K16" i="8" s="1"/>
  <c r="AS15" i="8" a="1"/>
  <c r="AS15" i="8" s="1"/>
  <c r="BL16" i="8" a="1"/>
  <c r="BL16" i="8" s="1"/>
  <c r="AI13" i="8" a="1"/>
  <c r="AI13" i="8" s="1"/>
  <c r="BO14" i="8" a="1"/>
  <c r="BO14" i="8" s="1"/>
  <c r="AT18" i="8" a="1"/>
  <c r="AT18" i="8" s="1"/>
  <c r="BI13" i="8" a="1"/>
  <c r="BI13" i="8" s="1"/>
  <c r="AH15" i="8" a="1"/>
  <c r="AH15" i="8" s="1"/>
  <c r="BQ16" i="8" a="1"/>
  <c r="BQ16" i="8" s="1"/>
  <c r="N15" i="8" a="1"/>
  <c r="N15" i="8" s="1"/>
  <c r="Y14" i="8" a="1"/>
  <c r="Y14" i="8" s="1"/>
  <c r="AM13" i="8" a="1"/>
  <c r="AM13" i="8" s="1"/>
  <c r="BC13" i="8" a="1"/>
  <c r="BC13" i="8" s="1"/>
  <c r="AM18" i="8" a="1"/>
  <c r="AM18" i="8" s="1"/>
  <c r="AM15" i="8" a="1"/>
  <c r="AM15" i="8" s="1"/>
  <c r="AV13" i="8" a="1"/>
  <c r="AV13" i="8" s="1"/>
  <c r="BK15" i="8" a="1"/>
  <c r="BK15" i="8" s="1"/>
  <c r="S15" i="8" a="1"/>
  <c r="S15" i="8" s="1"/>
  <c r="BH16" i="8" a="1"/>
  <c r="BH16" i="8" s="1"/>
  <c r="BI15" i="8" a="1"/>
  <c r="BI15" i="8" s="1"/>
  <c r="AY13" i="8" a="1"/>
  <c r="AY13" i="8" s="1"/>
  <c r="BA15" i="8" a="1"/>
  <c r="BA15" i="8" s="1"/>
  <c r="L18" i="8" a="1"/>
  <c r="L18" i="8" s="1"/>
  <c r="BM16" i="8" a="1"/>
  <c r="BM16" i="8" s="1"/>
  <c r="BI18" i="8" a="1"/>
  <c r="BI18" i="8" s="1"/>
  <c r="AD14" i="8" a="1"/>
  <c r="AD14" i="8" s="1"/>
  <c r="AL16" i="8" a="1"/>
  <c r="AL16" i="8" s="1"/>
  <c r="AO13" i="8" a="1"/>
  <c r="AO13" i="8" s="1"/>
  <c r="BD18" i="8" a="1"/>
  <c r="BD18" i="8" s="1"/>
  <c r="AW16" i="8" a="1"/>
  <c r="AW16" i="8" s="1"/>
  <c r="T13" i="8" a="1"/>
  <c r="T13" i="8" s="1"/>
  <c r="T14" i="8" a="1"/>
  <c r="T14" i="8" s="1"/>
  <c r="X14" i="8" a="1"/>
  <c r="X14" i="8" s="1"/>
  <c r="AS18" i="8" a="1"/>
  <c r="AS18" i="8" s="1"/>
  <c r="N14" i="8" a="1"/>
  <c r="N14" i="8" s="1"/>
  <c r="Q15" i="8" a="1"/>
  <c r="Q15" i="8" s="1"/>
  <c r="AF18" i="8" a="1"/>
  <c r="AF18" i="8" s="1"/>
  <c r="BD14" i="8" a="1"/>
  <c r="BD14" i="8" s="1"/>
  <c r="P16" i="8" a="1"/>
  <c r="P16" i="8" s="1"/>
  <c r="R18" i="8" a="1"/>
  <c r="R18" i="8" s="1"/>
  <c r="Q13" i="8" a="1"/>
  <c r="Q13" i="8" s="1"/>
  <c r="AV14" i="8" a="1"/>
  <c r="AV14" i="8" s="1"/>
  <c r="BO15" i="8" a="1"/>
  <c r="BO15" i="8" s="1"/>
  <c r="BR16" i="8" a="1"/>
  <c r="BR16" i="8" s="1"/>
  <c r="AR16" i="8" a="1"/>
  <c r="AR16" i="8" s="1"/>
  <c r="AN14" i="8" a="1"/>
  <c r="AN14" i="8" s="1"/>
  <c r="BG15" i="8" a="1"/>
  <c r="BG15" i="8" s="1"/>
  <c r="BN18" i="8" a="1"/>
  <c r="BN18" i="8" s="1"/>
  <c r="BM13" i="8" a="1"/>
  <c r="BM13" i="8" s="1"/>
  <c r="AP16" i="8" a="1"/>
  <c r="AP16" i="8" s="1"/>
  <c r="BH18" i="8" a="1"/>
  <c r="BH18" i="8" s="1"/>
  <c r="AC14" i="8" a="1"/>
  <c r="AC14" i="8" s="1"/>
  <c r="BL15" i="8" a="1"/>
  <c r="BL15" i="8" s="1"/>
  <c r="S16" i="8" a="1"/>
  <c r="S16" i="8" s="1"/>
  <c r="AD15" i="8" a="1"/>
  <c r="AD15" i="8" s="1"/>
  <c r="AO14" i="8" a="1"/>
  <c r="AO14" i="8" s="1"/>
  <c r="BE14" i="8" a="1"/>
  <c r="BE14" i="8" s="1"/>
  <c r="BL13" i="8" a="1"/>
  <c r="BL13" i="8" s="1"/>
  <c r="BC15" i="8" a="1"/>
  <c r="BC15" i="8" s="1"/>
  <c r="AP14" i="8" a="1"/>
  <c r="AP14" i="8" s="1"/>
  <c r="AE18" i="8" a="1"/>
  <c r="AE18" i="8" s="1"/>
  <c r="V16" i="8" a="1"/>
  <c r="V16" i="8" s="1"/>
  <c r="T18" i="8" a="1"/>
  <c r="T18" i="8" s="1"/>
  <c r="S14" i="8" a="1"/>
  <c r="S14" i="8" s="1"/>
  <c r="AJ13" i="8" a="1"/>
  <c r="AJ13" i="8" s="1"/>
  <c r="BE16" i="8" a="1"/>
  <c r="BE16" i="8" s="1"/>
  <c r="AB13" i="8" a="1"/>
  <c r="AB13" i="8" s="1"/>
  <c r="AG15" i="8" a="1"/>
  <c r="AG15" i="8" s="1"/>
  <c r="AV18" i="8" a="1"/>
  <c r="AV18" i="8" s="1"/>
  <c r="Z16" i="8" a="1"/>
  <c r="Z16" i="8" s="1"/>
  <c r="AR15" i="8" a="1"/>
  <c r="AR15" i="8" s="1"/>
  <c r="S18" i="8" a="1"/>
  <c r="S18" i="8" s="1"/>
  <c r="R13" i="8" a="1"/>
  <c r="R13" i="8" s="1"/>
  <c r="BC14" i="8" a="1"/>
  <c r="BC14" i="8" s="1"/>
  <c r="AO16" i="8" a="1"/>
  <c r="AO16" i="8" s="1"/>
  <c r="L13" i="8" a="1"/>
  <c r="L13" i="8" s="1"/>
  <c r="L14" i="8" a="1"/>
  <c r="L14" i="8" s="1"/>
  <c r="AH16" i="8" a="1"/>
  <c r="AH16" i="8" s="1"/>
  <c r="BB13" i="8" a="1"/>
  <c r="BB13" i="8" s="1"/>
  <c r="BR14" i="8" a="1"/>
  <c r="BR14" i="8" s="1"/>
  <c r="N16" i="8" a="1"/>
  <c r="N16" i="8" s="1"/>
  <c r="AZ16" i="8" a="1"/>
  <c r="AZ16" i="8" s="1"/>
  <c r="AT13" i="8" a="1"/>
  <c r="AT13" i="8" s="1"/>
  <c r="BJ14" i="8" a="1"/>
  <c r="BJ14" i="8" s="1"/>
  <c r="BM15" i="8" a="1"/>
  <c r="BM15" i="8" s="1"/>
  <c r="P18" i="8" a="1"/>
  <c r="P18" i="8" s="1"/>
  <c r="AL13" i="8" a="1"/>
  <c r="AL13" i="8" s="1"/>
  <c r="BB14" i="8" a="1"/>
  <c r="BB14" i="8" s="1"/>
  <c r="BJ16" i="8" a="1"/>
  <c r="BJ16" i="8" s="1"/>
  <c r="AJ16" i="8" a="1"/>
  <c r="AJ16" i="8" s="1"/>
  <c r="AK15" i="8" a="1"/>
  <c r="AK15" i="8" s="1"/>
  <c r="BD16" i="8" a="1"/>
  <c r="BD16" i="8" s="1"/>
  <c r="AA13" i="8" a="1"/>
  <c r="AA13" i="8" s="1"/>
  <c r="BG14" i="8" a="1"/>
  <c r="BG14" i="8" s="1"/>
  <c r="BR15" i="8" a="1"/>
  <c r="BR15" i="8" s="1"/>
  <c r="AI16" i="8" a="1"/>
  <c r="AI16" i="8" s="1"/>
  <c r="AT15" i="8" a="1"/>
  <c r="AT15" i="8" s="1"/>
  <c r="BJ15" i="8" a="1"/>
  <c r="BJ15" i="8" s="1"/>
  <c r="AX14" i="8" a="1"/>
  <c r="AX14" i="8" s="1"/>
  <c r="BC18" i="8" a="1"/>
  <c r="BC18" i="8" s="1"/>
  <c r="AE15" i="8" a="1"/>
  <c r="AE15" i="8" s="1"/>
  <c r="BD13" i="8" a="1"/>
  <c r="BD13" i="8" s="1"/>
  <c r="Z15" i="8" a="1"/>
  <c r="Z15" i="8" s="1"/>
  <c r="AZ15" i="8" a="1"/>
  <c r="AZ15" i="8" s="1"/>
  <c r="AA18" i="8" a="1"/>
  <c r="AA18" i="8" s="1"/>
  <c r="AB14" i="8" a="1"/>
  <c r="AB14" i="8" s="1"/>
  <c r="V13" i="8" a="1"/>
  <c r="V13" i="8" s="1"/>
  <c r="U15" i="8" a="1"/>
  <c r="U15" i="8" s="1"/>
  <c r="AM14" i="8" a="1"/>
  <c r="AM14" i="8" s="1"/>
  <c r="O16" i="8" a="1"/>
  <c r="O16" i="8" s="1"/>
  <c r="AW18" i="8" a="1"/>
  <c r="AW18" i="8" s="1"/>
  <c r="AI18" i="8" a="1"/>
  <c r="AI18" i="8" s="1"/>
  <c r="AJ15" i="8" a="1"/>
  <c r="AJ15" i="8" s="1"/>
  <c r="K18" i="8" a="1"/>
  <c r="K18" i="8" s="1"/>
  <c r="AO18" i="8" a="1"/>
  <c r="AO18" i="8" s="1"/>
  <c r="AZ18" i="8" a="1"/>
  <c r="AZ18" i="8" s="1"/>
  <c r="AK18" i="8" a="1"/>
  <c r="AK18" i="8" s="1"/>
  <c r="BP13" i="8" a="1"/>
  <c r="BP13" i="8" s="1"/>
  <c r="BP14" i="8" a="1"/>
  <c r="BP14" i="8" s="1"/>
  <c r="X18" i="8" a="1"/>
  <c r="X18" i="8" s="1"/>
  <c r="AC18" i="8" a="1"/>
  <c r="AC18" i="8" s="1"/>
  <c r="BH13" i="8" a="1"/>
  <c r="BH13" i="8" s="1"/>
  <c r="BH14" i="8" a="1"/>
  <c r="BH14" i="8" s="1"/>
  <c r="BQ18" i="8" a="1"/>
  <c r="BQ18" i="8" s="1"/>
  <c r="U18" i="8" a="1"/>
  <c r="U18" i="8" s="1"/>
  <c r="AZ13" i="8" a="1"/>
  <c r="AZ13" i="8" s="1"/>
  <c r="BE15" i="8" a="1"/>
  <c r="BE15" i="8" s="1"/>
  <c r="BP16" i="8" a="1"/>
  <c r="BP16" i="8" s="1"/>
  <c r="AF14" i="8" a="1"/>
  <c r="AF14" i="8" s="1"/>
  <c r="AY15" i="8" a="1"/>
  <c r="AY15" i="8" s="1"/>
  <c r="BF18" i="8" a="1"/>
  <c r="BF18" i="8" s="1"/>
  <c r="BE13" i="8" a="1"/>
  <c r="BE13" i="8" s="1"/>
  <c r="O13" i="8" a="1"/>
  <c r="O13" i="8" s="1"/>
  <c r="AE13" i="8" a="1"/>
  <c r="AE13" i="8" s="1"/>
  <c r="AY16" i="8" a="1"/>
  <c r="AY16" i="8" s="1"/>
  <c r="BO16" i="8" a="1"/>
  <c r="BO16" i="8" s="1"/>
  <c r="AU15" i="8" a="1"/>
  <c r="AU15" i="8" s="1"/>
  <c r="AF13" i="8" a="1"/>
  <c r="AF13" i="8" s="1"/>
  <c r="T16" i="8" a="1"/>
  <c r="T16" i="8" s="1"/>
  <c r="Q24" i="9"/>
  <c r="R22" i="6"/>
  <c r="K25" i="9"/>
  <c r="AI17" i="8" a="1"/>
  <c r="AI17" i="8" s="1"/>
  <c r="BM17" i="8" a="1"/>
  <c r="BM17" i="8" s="1"/>
  <c r="N17" i="8" a="1"/>
  <c r="N17" i="8" s="1"/>
  <c r="O17" i="8" a="1"/>
  <c r="O17" i="8" s="1"/>
  <c r="AE17" i="8" a="1"/>
  <c r="AE17" i="8" s="1"/>
  <c r="BB17" i="8" a="1"/>
  <c r="BB17" i="8" s="1"/>
  <c r="BC17" i="8" a="1"/>
  <c r="BC17" i="8" s="1"/>
  <c r="S17" i="8" a="1"/>
  <c r="S17" i="8" s="1"/>
  <c r="AW17" i="8" a="1"/>
  <c r="AW17" i="8" s="1"/>
  <c r="M17" i="8" a="1"/>
  <c r="M17" i="8" s="1"/>
  <c r="AK17" i="8" a="1"/>
  <c r="AK17" i="8" s="1"/>
  <c r="W17" i="8" a="1"/>
  <c r="W17" i="8" s="1"/>
  <c r="AM17" i="8" a="1"/>
  <c r="AM17" i="8" s="1"/>
  <c r="BI17" i="8" a="1"/>
  <c r="BI17" i="8" s="1"/>
  <c r="BJ17" i="8" a="1"/>
  <c r="BJ17" i="8" s="1"/>
  <c r="AA17" i="8" a="1"/>
  <c r="AA17" i="8" s="1"/>
  <c r="AS17" i="8" a="1"/>
  <c r="AS17" i="8" s="1"/>
  <c r="T17" i="8" a="1"/>
  <c r="T17" i="8" s="1"/>
  <c r="AB17" i="8" a="1"/>
  <c r="AB17" i="8" s="1"/>
  <c r="BN17" i="8" a="1"/>
  <c r="BN17" i="8" s="1"/>
  <c r="AL17" i="8" a="1"/>
  <c r="AL17" i="8" s="1"/>
  <c r="BA17" i="8" a="1"/>
  <c r="BA17" i="8" s="1"/>
  <c r="R17" i="8" a="1"/>
  <c r="R17" i="8" s="1"/>
  <c r="AO17" i="8" a="1"/>
  <c r="AO17" i="8" s="1"/>
  <c r="BQ17" i="8" a="1"/>
  <c r="BQ17" i="8" s="1"/>
  <c r="AH17" i="8" a="1"/>
  <c r="AH17" i="8" s="1"/>
  <c r="AP17" i="8" a="1"/>
  <c r="AP17" i="8" s="1"/>
  <c r="AJ17" i="8" a="1"/>
  <c r="AJ17" i="8" s="1"/>
  <c r="AR17" i="8" a="1"/>
  <c r="AR17" i="8" s="1"/>
  <c r="BH17" i="8" a="1"/>
  <c r="BH17" i="8" s="1"/>
  <c r="Q17" i="8" a="1"/>
  <c r="Q17" i="8" s="1"/>
  <c r="Z17" i="8" a="1"/>
  <c r="Z17" i="8" s="1"/>
  <c r="AV17" i="8" a="1"/>
  <c r="AV17" i="8" s="1"/>
  <c r="BE17" i="8" a="1"/>
  <c r="BE17" i="8" s="1"/>
  <c r="AQ17" i="8" a="1"/>
  <c r="AQ17" i="8" s="1"/>
  <c r="AZ17" i="8" a="1"/>
  <c r="AZ17" i="8" s="1"/>
  <c r="AC17" i="8" a="1"/>
  <c r="AC17" i="8" s="1"/>
  <c r="BP17" i="8" a="1"/>
  <c r="BP17" i="8" s="1"/>
  <c r="Y17" i="8" a="1"/>
  <c r="Y17" i="8" s="1"/>
  <c r="AG17" i="8" a="1"/>
  <c r="AG17" i="8" s="1"/>
  <c r="BD17" i="8" a="1"/>
  <c r="BD17" i="8" s="1"/>
  <c r="BG17" i="8" a="1"/>
  <c r="BG17" i="8" s="1"/>
  <c r="BL17" i="8" a="1"/>
  <c r="BL17" i="8" s="1"/>
  <c r="AX17" i="8" a="1"/>
  <c r="AX17" i="8" s="1"/>
  <c r="BO17" i="8" a="1"/>
  <c r="BO17" i="8" s="1"/>
  <c r="K17" i="8" a="1"/>
  <c r="K17" i="8" s="1"/>
  <c r="P17" i="8" a="1"/>
  <c r="P17" i="8" s="1"/>
  <c r="AY17" i="8" a="1"/>
  <c r="AY17" i="8" s="1"/>
  <c r="AF17" i="8" a="1"/>
  <c r="AF17" i="8" s="1"/>
  <c r="AN17" i="8" a="1"/>
  <c r="AN17" i="8" s="1"/>
  <c r="BK17" i="8" a="1"/>
  <c r="BK17" i="8" s="1"/>
  <c r="U17" i="8" a="1"/>
  <c r="U17" i="8" s="1"/>
  <c r="AD17" i="8" a="1"/>
  <c r="AD17" i="8" s="1"/>
  <c r="V17" i="8" a="1"/>
  <c r="V17" i="8" s="1"/>
  <c r="BR17" i="8" a="1"/>
  <c r="BR17" i="8" s="1"/>
  <c r="L17" i="8" a="1"/>
  <c r="L17" i="8" s="1"/>
  <c r="BF17" i="8" a="1"/>
  <c r="BF17" i="8" s="1"/>
  <c r="X17" i="8" a="1"/>
  <c r="X17" i="8" s="1"/>
  <c r="AT17" i="8" a="1"/>
  <c r="AT17" i="8" s="1"/>
  <c r="AU17" i="8" a="1"/>
  <c r="AU17" i="8" s="1"/>
  <c r="BM11" i="6"/>
  <c r="AK12" i="6"/>
  <c r="AO13" i="6"/>
  <c r="M14" i="6"/>
  <c r="AU15" i="6"/>
  <c r="AC10" i="6"/>
  <c r="AS14" i="6"/>
  <c r="BI10" i="6"/>
  <c r="Q15" i="6"/>
  <c r="AG11" i="6"/>
  <c r="AI10" i="6"/>
  <c r="AM11" i="6"/>
  <c r="K12" i="6"/>
  <c r="AQ12" i="6"/>
  <c r="O13" i="6"/>
  <c r="AU13" i="6"/>
  <c r="S14" i="6"/>
  <c r="AY14" i="6"/>
  <c r="W15" i="6"/>
  <c r="BC15" i="6"/>
  <c r="AK10" i="6"/>
  <c r="BQ10" i="6"/>
  <c r="AO11" i="6"/>
  <c r="M12" i="6"/>
  <c r="AS12" i="6"/>
  <c r="Q13" i="6"/>
  <c r="AW13" i="6"/>
  <c r="U14" i="6"/>
  <c r="BA14" i="6"/>
  <c r="Y15" i="6"/>
  <c r="BE15" i="6"/>
  <c r="K10" i="6"/>
  <c r="AQ10" i="6"/>
  <c r="O11" i="6"/>
  <c r="AU11" i="6"/>
  <c r="S12" i="6"/>
  <c r="AY12" i="6"/>
  <c r="W13" i="6"/>
  <c r="BC13" i="6"/>
  <c r="AA14" i="6"/>
  <c r="BG14" i="6"/>
  <c r="AE15" i="6"/>
  <c r="BM15" i="6"/>
  <c r="M10" i="6"/>
  <c r="AS10" i="6"/>
  <c r="Q11" i="6"/>
  <c r="AW11" i="6"/>
  <c r="U12" i="6"/>
  <c r="BA12" i="6"/>
  <c r="Y13" i="6"/>
  <c r="BE13" i="6"/>
  <c r="AC14" i="6"/>
  <c r="BI14" i="6"/>
  <c r="AG15" i="6"/>
  <c r="AY10" i="6"/>
  <c r="W11" i="6"/>
  <c r="BC11" i="6"/>
  <c r="AA12" i="6"/>
  <c r="BG12" i="6"/>
  <c r="AE13" i="6"/>
  <c r="BK13" i="6"/>
  <c r="AI14" i="6"/>
  <c r="BO14" i="6"/>
  <c r="AM15" i="6"/>
  <c r="U10" i="6"/>
  <c r="BA10" i="6"/>
  <c r="Y11" i="6"/>
  <c r="BE11" i="6"/>
  <c r="AC12" i="6"/>
  <c r="BI12" i="6"/>
  <c r="AG13" i="6"/>
  <c r="BM13" i="6"/>
  <c r="AK14" i="6"/>
  <c r="BQ14" i="6"/>
  <c r="AO15" i="6"/>
  <c r="AA10" i="6"/>
  <c r="BG10" i="6"/>
  <c r="AE11" i="6"/>
  <c r="BK11" i="6"/>
  <c r="AI12" i="6"/>
  <c r="BO12" i="6"/>
  <c r="AM13" i="6"/>
  <c r="K14" i="6"/>
  <c r="AQ14" i="6"/>
  <c r="O15" i="6"/>
  <c r="I34" i="8"/>
  <c r="BK15" i="6"/>
  <c r="L10" i="6"/>
  <c r="T10" i="6"/>
  <c r="AB10" i="6"/>
  <c r="AJ10" i="6"/>
  <c r="AR10" i="6"/>
  <c r="AZ10" i="6"/>
  <c r="BH10" i="6"/>
  <c r="BP10" i="6"/>
  <c r="P11" i="6"/>
  <c r="X11" i="6"/>
  <c r="AF11" i="6"/>
  <c r="AN11" i="6"/>
  <c r="AV11" i="6"/>
  <c r="BD11" i="6"/>
  <c r="BL11" i="6"/>
  <c r="L12" i="6"/>
  <c r="T12" i="6"/>
  <c r="AB12" i="6"/>
  <c r="AJ12" i="6"/>
  <c r="AR12" i="6"/>
  <c r="AZ12" i="6"/>
  <c r="BH12" i="6"/>
  <c r="BP12" i="6"/>
  <c r="P13" i="6"/>
  <c r="X13" i="6"/>
  <c r="AF13" i="6"/>
  <c r="AN13" i="6"/>
  <c r="AV13" i="6"/>
  <c r="BD13" i="6"/>
  <c r="BL13" i="6"/>
  <c r="L14" i="6"/>
  <c r="T14" i="6"/>
  <c r="AB14" i="6"/>
  <c r="AJ14" i="6"/>
  <c r="AR14" i="6"/>
  <c r="AZ14" i="6"/>
  <c r="BH14" i="6"/>
  <c r="BP14" i="6"/>
  <c r="P15" i="6"/>
  <c r="X15" i="6"/>
  <c r="AF15" i="6"/>
  <c r="AN15" i="6"/>
  <c r="AV15" i="6"/>
  <c r="BD15" i="6"/>
  <c r="BL15" i="6"/>
  <c r="N10" i="6"/>
  <c r="V10" i="6"/>
  <c r="E10" i="6" s="1"/>
  <c r="AD10" i="6"/>
  <c r="AL10" i="6"/>
  <c r="AT10" i="6"/>
  <c r="G10" i="6" s="1"/>
  <c r="BB10" i="6"/>
  <c r="BJ10" i="6"/>
  <c r="BR10" i="6"/>
  <c r="I10" i="6" s="1"/>
  <c r="R11" i="6"/>
  <c r="Z11" i="6"/>
  <c r="F30" i="8"/>
  <c r="AP11" i="6"/>
  <c r="AX11" i="6"/>
  <c r="H30" i="8"/>
  <c r="BN11" i="6"/>
  <c r="N12" i="6"/>
  <c r="E31" i="8"/>
  <c r="AD12" i="6"/>
  <c r="AL12" i="6"/>
  <c r="G31" i="8"/>
  <c r="BB12" i="6"/>
  <c r="BJ12" i="6"/>
  <c r="BR12" i="6"/>
  <c r="I12" i="6" s="1"/>
  <c r="R13" i="6"/>
  <c r="Z13" i="6"/>
  <c r="F32" i="8"/>
  <c r="AP13" i="6"/>
  <c r="AX13" i="6"/>
  <c r="H32" i="8"/>
  <c r="BN13" i="6"/>
  <c r="N14" i="6"/>
  <c r="E33" i="8"/>
  <c r="AD14" i="6"/>
  <c r="AL14" i="6"/>
  <c r="G33" i="8"/>
  <c r="BB14" i="6"/>
  <c r="BJ14" i="6"/>
  <c r="I33" i="8"/>
  <c r="R15" i="6"/>
  <c r="Z15" i="6"/>
  <c r="F34" i="8"/>
  <c r="AP15" i="6"/>
  <c r="AX15" i="6"/>
  <c r="H34" i="8"/>
  <c r="BN15" i="6"/>
  <c r="O10" i="6"/>
  <c r="W10" i="6"/>
  <c r="AE10" i="6"/>
  <c r="AM10" i="6"/>
  <c r="BC10" i="6"/>
  <c r="BK10" i="6"/>
  <c r="K11" i="6"/>
  <c r="S11" i="6"/>
  <c r="AA11" i="6"/>
  <c r="AI11" i="6"/>
  <c r="AQ11" i="6"/>
  <c r="AY11" i="6"/>
  <c r="BG11" i="6"/>
  <c r="BO11" i="6"/>
  <c r="O12" i="6"/>
  <c r="W12" i="6"/>
  <c r="AE12" i="6"/>
  <c r="AM12" i="6"/>
  <c r="AU12" i="6"/>
  <c r="BC12" i="6"/>
  <c r="BK12" i="6"/>
  <c r="K13" i="6"/>
  <c r="S13" i="6"/>
  <c r="AA13" i="6"/>
  <c r="AI13" i="6"/>
  <c r="AQ13" i="6"/>
  <c r="AY13" i="6"/>
  <c r="BG13" i="6"/>
  <c r="BO13" i="6"/>
  <c r="O14" i="6"/>
  <c r="W14" i="6"/>
  <c r="AE14" i="6"/>
  <c r="AM14" i="6"/>
  <c r="AU14" i="6"/>
  <c r="BC14" i="6"/>
  <c r="BK14" i="6"/>
  <c r="K15" i="6"/>
  <c r="S15" i="6"/>
  <c r="AA15" i="6"/>
  <c r="AI15" i="6"/>
  <c r="AQ15" i="6"/>
  <c r="AY15" i="6"/>
  <c r="BG15" i="6"/>
  <c r="BO15" i="6"/>
  <c r="P10" i="6"/>
  <c r="X10" i="6"/>
  <c r="AF10" i="6"/>
  <c r="AN10" i="6"/>
  <c r="AV10" i="6"/>
  <c r="BD10" i="6"/>
  <c r="BL10" i="6"/>
  <c r="L11" i="6"/>
  <c r="T11" i="6"/>
  <c r="AB11" i="6"/>
  <c r="AJ11" i="6"/>
  <c r="AR11" i="6"/>
  <c r="AZ11" i="6"/>
  <c r="BH11" i="6"/>
  <c r="BP11" i="6"/>
  <c r="P12" i="6"/>
  <c r="X12" i="6"/>
  <c r="AF12" i="6"/>
  <c r="AN12" i="6"/>
  <c r="AV12" i="6"/>
  <c r="BD12" i="6"/>
  <c r="BL12" i="6"/>
  <c r="L13" i="6"/>
  <c r="T13" i="6"/>
  <c r="AB13" i="6"/>
  <c r="AJ13" i="6"/>
  <c r="AR13" i="6"/>
  <c r="AZ13" i="6"/>
  <c r="BH13" i="6"/>
  <c r="BP13" i="6"/>
  <c r="P14" i="6"/>
  <c r="X14" i="6"/>
  <c r="AF14" i="6"/>
  <c r="AN14" i="6"/>
  <c r="AV14" i="6"/>
  <c r="BD14" i="6"/>
  <c r="BL14" i="6"/>
  <c r="L15" i="6"/>
  <c r="T15" i="6"/>
  <c r="AB15" i="6"/>
  <c r="AJ15" i="6"/>
  <c r="AR15" i="6"/>
  <c r="AZ15" i="6"/>
  <c r="BH15" i="6"/>
  <c r="BP15" i="6"/>
  <c r="Q10" i="6"/>
  <c r="Y10" i="6"/>
  <c r="AG10" i="6"/>
  <c r="AO10" i="6"/>
  <c r="AW10" i="6"/>
  <c r="BE10" i="6"/>
  <c r="BM10" i="6"/>
  <c r="M11" i="6"/>
  <c r="U11" i="6"/>
  <c r="AC11" i="6"/>
  <c r="AK11" i="6"/>
  <c r="AS11" i="6"/>
  <c r="BA11" i="6"/>
  <c r="BI11" i="6"/>
  <c r="BQ11" i="6"/>
  <c r="Q12" i="6"/>
  <c r="Y12" i="6"/>
  <c r="AG12" i="6"/>
  <c r="AO12" i="6"/>
  <c r="AW12" i="6"/>
  <c r="BE12" i="6"/>
  <c r="BM12" i="6"/>
  <c r="M13" i="6"/>
  <c r="U13" i="6"/>
  <c r="AC13" i="6"/>
  <c r="AK13" i="6"/>
  <c r="AS13" i="6"/>
  <c r="BA13" i="6"/>
  <c r="BI13" i="6"/>
  <c r="BQ13" i="6"/>
  <c r="Q14" i="6"/>
  <c r="Y14" i="6"/>
  <c r="AG14" i="6"/>
  <c r="AO14" i="6"/>
  <c r="AW14" i="6"/>
  <c r="BE14" i="6"/>
  <c r="BM14" i="6"/>
  <c r="M15" i="6"/>
  <c r="U15" i="6"/>
  <c r="AC15" i="6"/>
  <c r="AK15" i="6"/>
  <c r="AS15" i="6"/>
  <c r="BA15" i="6"/>
  <c r="BI15" i="6"/>
  <c r="BQ15" i="6"/>
  <c r="R10" i="6"/>
  <c r="Z10" i="6"/>
  <c r="AH10" i="6"/>
  <c r="F10" i="6" s="1"/>
  <c r="AP10" i="6"/>
  <c r="AX10" i="6"/>
  <c r="BN10" i="6"/>
  <c r="N11" i="6"/>
  <c r="V11" i="6"/>
  <c r="AD11" i="6"/>
  <c r="AL11" i="6"/>
  <c r="G30" i="8"/>
  <c r="BB11" i="6"/>
  <c r="BJ11" i="6"/>
  <c r="BR11" i="6"/>
  <c r="I11" i="6" s="1"/>
  <c r="R12" i="6"/>
  <c r="Z12" i="6"/>
  <c r="AH12" i="6"/>
  <c r="F12" i="6" s="1"/>
  <c r="AP12" i="6"/>
  <c r="AX12" i="6"/>
  <c r="H31" i="8"/>
  <c r="BN12" i="6"/>
  <c r="N13" i="6"/>
  <c r="E32" i="8"/>
  <c r="AD13" i="6"/>
  <c r="AL13" i="6"/>
  <c r="G32" i="8"/>
  <c r="BB13" i="6"/>
  <c r="BJ13" i="6"/>
  <c r="R14" i="6"/>
  <c r="Z14" i="6"/>
  <c r="AH14" i="6"/>
  <c r="F14" i="6" s="1"/>
  <c r="AP14" i="6"/>
  <c r="AX14" i="6"/>
  <c r="H33" i="8"/>
  <c r="BN14" i="6"/>
  <c r="N15" i="6"/>
  <c r="V15" i="6"/>
  <c r="E15" i="6" s="1"/>
  <c r="AD15" i="6"/>
  <c r="AL15" i="6"/>
  <c r="AT15" i="6"/>
  <c r="G15" i="6" s="1"/>
  <c r="BB15" i="6"/>
  <c r="BJ15" i="6"/>
  <c r="AX9" i="9"/>
  <c r="AG9" i="9"/>
  <c r="AW9" i="9"/>
  <c r="BM9" i="9"/>
  <c r="AH9" i="9"/>
  <c r="BN9" i="9"/>
  <c r="AY9" i="9"/>
  <c r="U9" i="9"/>
  <c r="BA9" i="9"/>
  <c r="AA9" i="9"/>
  <c r="AI9" i="9"/>
  <c r="AQ9" i="9"/>
  <c r="BG9" i="9"/>
  <c r="BO9" i="9"/>
  <c r="AC9" i="9"/>
  <c r="AS9" i="9"/>
  <c r="BI9" i="9"/>
  <c r="M9" i="9"/>
  <c r="AK9" i="9"/>
  <c r="BQ9" i="9"/>
  <c r="R9" i="9"/>
  <c r="Z9" i="9"/>
  <c r="BP9" i="9"/>
  <c r="K9" i="9"/>
  <c r="S9" i="9"/>
  <c r="AP9" i="9"/>
  <c r="BF9" i="9"/>
  <c r="BG22" i="9"/>
  <c r="AQ22" i="9"/>
  <c r="L26" i="6"/>
  <c r="M26" i="6" s="1"/>
  <c r="L9" i="9"/>
  <c r="T9" i="9"/>
  <c r="AB9" i="9"/>
  <c r="AJ9" i="9"/>
  <c r="AR9" i="9"/>
  <c r="AZ9" i="9"/>
  <c r="BH9" i="9"/>
  <c r="Q9" i="9"/>
  <c r="Y9" i="9"/>
  <c r="AO9" i="9"/>
  <c r="BE9" i="9"/>
  <c r="P14" i="4"/>
  <c r="AH22" i="9"/>
  <c r="Z11" i="8"/>
  <c r="BO10" i="6"/>
  <c r="AW11" i="8"/>
  <c r="BC11" i="8"/>
  <c r="M11" i="8"/>
  <c r="N22" i="9"/>
  <c r="F7" i="8"/>
  <c r="H9" i="8"/>
  <c r="Q11" i="8"/>
  <c r="W11" i="8"/>
  <c r="E9" i="8"/>
  <c r="F9" i="8"/>
  <c r="AO11" i="8"/>
  <c r="AB11" i="8"/>
  <c r="L24" i="6"/>
  <c r="H7" i="8"/>
  <c r="BF11" i="8"/>
  <c r="AG22" i="9"/>
  <c r="AB22" i="9"/>
  <c r="Z22" i="9"/>
  <c r="U11" i="8"/>
  <c r="BH11" i="8"/>
  <c r="AA22" i="9"/>
  <c r="AK11" i="8"/>
  <c r="N11" i="8"/>
  <c r="G8" i="8"/>
  <c r="BI11" i="8"/>
  <c r="BP11" i="8"/>
  <c r="BQ11" i="8"/>
  <c r="G7" i="8"/>
  <c r="T11" i="8"/>
  <c r="H8" i="8"/>
  <c r="I7" i="8"/>
  <c r="AC11" i="8"/>
  <c r="AJ11" i="8"/>
  <c r="AR11" i="8"/>
  <c r="AZ11" i="8"/>
  <c r="AS11" i="8"/>
  <c r="BA11" i="8"/>
  <c r="E6" i="9"/>
  <c r="F6" i="9"/>
  <c r="G6" i="9"/>
  <c r="H6" i="9"/>
  <c r="I6" i="9"/>
  <c r="N9" i="9"/>
  <c r="V9" i="9"/>
  <c r="AD9" i="9"/>
  <c r="AL9" i="9"/>
  <c r="AT9" i="9"/>
  <c r="BB9" i="9"/>
  <c r="BJ9" i="9"/>
  <c r="BR9" i="9"/>
  <c r="O9" i="9"/>
  <c r="W9" i="9"/>
  <c r="AE9" i="9"/>
  <c r="AM9" i="9"/>
  <c r="AU9" i="9"/>
  <c r="BC9" i="9"/>
  <c r="BK9" i="9"/>
  <c r="P9" i="9"/>
  <c r="X9" i="9"/>
  <c r="AF9" i="9"/>
  <c r="AN9" i="9"/>
  <c r="AV9" i="9"/>
  <c r="BD9" i="9"/>
  <c r="BL9" i="9"/>
  <c r="E5" i="9"/>
  <c r="H10" i="8"/>
  <c r="E6" i="8"/>
  <c r="L11" i="8"/>
  <c r="E8" i="8"/>
  <c r="I10" i="8"/>
  <c r="AE11" i="8"/>
  <c r="V11" i="8"/>
  <c r="AA11" i="8"/>
  <c r="BB11" i="8"/>
  <c r="BG11" i="8"/>
  <c r="E7" i="8"/>
  <c r="AX11" i="8"/>
  <c r="I6" i="8"/>
  <c r="G10" i="8"/>
  <c r="K11" i="8"/>
  <c r="K31" i="9" s="1"/>
  <c r="AT11" i="8"/>
  <c r="AY11" i="8"/>
  <c r="X11" i="8"/>
  <c r="AG11" i="8"/>
  <c r="AP11" i="8"/>
  <c r="AU11" i="8"/>
  <c r="BD11" i="8"/>
  <c r="BM11" i="8"/>
  <c r="H6" i="8"/>
  <c r="F10" i="8"/>
  <c r="BL11" i="8"/>
  <c r="AQ11" i="8"/>
  <c r="BR11" i="8"/>
  <c r="G6" i="8"/>
  <c r="F8" i="8"/>
  <c r="E10" i="8"/>
  <c r="AN11" i="8"/>
  <c r="R11" i="8"/>
  <c r="AF11" i="8"/>
  <c r="AM11" i="8"/>
  <c r="AV11" i="8"/>
  <c r="BE11" i="8"/>
  <c r="BN11" i="8"/>
  <c r="F6" i="8"/>
  <c r="BK11" i="8"/>
  <c r="I8" i="8"/>
  <c r="F5" i="8"/>
  <c r="O11" i="8"/>
  <c r="AL11" i="8"/>
  <c r="H5" i="8"/>
  <c r="Y11" i="8"/>
  <c r="AH11" i="8"/>
  <c r="I5" i="8"/>
  <c r="P11" i="8"/>
  <c r="AD11" i="8"/>
  <c r="AI11" i="8"/>
  <c r="G5" i="8"/>
  <c r="BJ11" i="8"/>
  <c r="BO11" i="8"/>
  <c r="G9" i="8"/>
  <c r="I9" i="8"/>
  <c r="AC22" i="9"/>
  <c r="AD22" i="9"/>
  <c r="AE22" i="9"/>
  <c r="X22" i="9"/>
  <c r="AF22" i="9"/>
  <c r="Y22" i="9"/>
  <c r="W16" i="6" l="1"/>
  <c r="K21" i="7"/>
  <c r="K26" i="9"/>
  <c r="L25" i="9"/>
  <c r="S22" i="6"/>
  <c r="R24" i="9"/>
  <c r="Q10" i="9"/>
  <c r="M10" i="9"/>
  <c r="K16" i="9"/>
  <c r="L10" i="9"/>
  <c r="L16" i="9"/>
  <c r="N10" i="9"/>
  <c r="R10" i="9"/>
  <c r="S10" i="9"/>
  <c r="T10" i="9"/>
  <c r="V10" i="9"/>
  <c r="O10" i="9"/>
  <c r="U10" i="9"/>
  <c r="P10" i="9"/>
  <c r="AH13" i="6"/>
  <c r="F13" i="6" s="1"/>
  <c r="E29" i="8"/>
  <c r="V12" i="6"/>
  <c r="E12" i="6" s="1"/>
  <c r="I31" i="8"/>
  <c r="I29" i="8"/>
  <c r="AA16" i="6"/>
  <c r="BR14" i="6"/>
  <c r="I14" i="6" s="1"/>
  <c r="BF11" i="6"/>
  <c r="H11" i="6" s="1"/>
  <c r="V14" i="6"/>
  <c r="E14" i="6" s="1"/>
  <c r="AZ16" i="6"/>
  <c r="BR35" i="8"/>
  <c r="I35" i="8" s="1"/>
  <c r="AC16" i="6"/>
  <c r="AI16" i="6"/>
  <c r="AQ35" i="8"/>
  <c r="AS16" i="6"/>
  <c r="BF13" i="6"/>
  <c r="H13" i="6" s="1"/>
  <c r="O35" i="8"/>
  <c r="AY16" i="6"/>
  <c r="K35" i="8"/>
  <c r="AE35" i="8"/>
  <c r="BF12" i="6"/>
  <c r="H12" i="6" s="1"/>
  <c r="Y35" i="8"/>
  <c r="G29" i="8"/>
  <c r="I30" i="8"/>
  <c r="E34" i="8"/>
  <c r="AH11" i="6"/>
  <c r="F11" i="6" s="1"/>
  <c r="AT12" i="6"/>
  <c r="G12" i="6" s="1"/>
  <c r="Z16" i="6"/>
  <c r="U16" i="6"/>
  <c r="Q16" i="6"/>
  <c r="T16" i="6"/>
  <c r="P16" i="6"/>
  <c r="AE16" i="6"/>
  <c r="S35" i="8"/>
  <c r="AM16" i="6"/>
  <c r="R16" i="6"/>
  <c r="N16" i="6"/>
  <c r="BF14" i="6"/>
  <c r="H14" i="6" s="1"/>
  <c r="M16" i="6"/>
  <c r="F29" i="8"/>
  <c r="AT14" i="6"/>
  <c r="G14" i="6" s="1"/>
  <c r="AT13" i="6"/>
  <c r="G13" i="6" s="1"/>
  <c r="N26" i="6"/>
  <c r="O26" i="6" s="1"/>
  <c r="BE16" i="6"/>
  <c r="BA16" i="6"/>
  <c r="AW16" i="6"/>
  <c r="X35" i="8"/>
  <c r="AF16" i="6"/>
  <c r="AB16" i="6"/>
  <c r="X16" i="6"/>
  <c r="AT11" i="6"/>
  <c r="G11" i="6" s="1"/>
  <c r="BN16" i="6"/>
  <c r="BJ16" i="6"/>
  <c r="AK16" i="6"/>
  <c r="AG16" i="6"/>
  <c r="Y16" i="6"/>
  <c r="W21" i="9"/>
  <c r="AI35" i="8"/>
  <c r="V35" i="8"/>
  <c r="E35" i="8" s="1"/>
  <c r="BE35" i="8"/>
  <c r="BL35" i="8"/>
  <c r="W35" i="8"/>
  <c r="AQ16" i="6"/>
  <c r="BN35" i="8"/>
  <c r="P35" i="8"/>
  <c r="R35" i="8"/>
  <c r="AH15" i="6"/>
  <c r="F15" i="6" s="1"/>
  <c r="AF35" i="8"/>
  <c r="BJ35" i="8"/>
  <c r="AC35" i="8"/>
  <c r="AA35" i="8"/>
  <c r="S10" i="6"/>
  <c r="S16" i="6" s="1"/>
  <c r="BP16" i="6"/>
  <c r="AU35" i="8"/>
  <c r="BB16" i="6"/>
  <c r="AX16" i="6"/>
  <c r="AP16" i="6"/>
  <c r="AL16" i="6"/>
  <c r="AV16" i="6"/>
  <c r="AR16" i="6"/>
  <c r="AN16" i="6"/>
  <c r="AJ35" i="8"/>
  <c r="AM35" i="8"/>
  <c r="BR15" i="6"/>
  <c r="I15" i="6" s="1"/>
  <c r="AJ16" i="6"/>
  <c r="BI16" i="6"/>
  <c r="BM16" i="6"/>
  <c r="L16" i="6"/>
  <c r="BL16" i="6"/>
  <c r="BH16" i="6"/>
  <c r="BD16" i="6"/>
  <c r="AB35" i="8"/>
  <c r="T35" i="8"/>
  <c r="AH35" i="8"/>
  <c r="F35" i="8" s="1"/>
  <c r="K16" i="6"/>
  <c r="BR13" i="6"/>
  <c r="I13" i="6" s="1"/>
  <c r="O16" i="6"/>
  <c r="BQ16" i="6"/>
  <c r="G34" i="8"/>
  <c r="F31" i="8"/>
  <c r="BD35" i="8"/>
  <c r="BA35" i="8"/>
  <c r="AK35" i="8"/>
  <c r="Z35" i="8"/>
  <c r="BM35" i="8"/>
  <c r="F33" i="8"/>
  <c r="E30" i="8"/>
  <c r="BI35" i="8"/>
  <c r="BO35" i="8"/>
  <c r="BQ35" i="8"/>
  <c r="AT35" i="8"/>
  <c r="G35" i="8" s="1"/>
  <c r="BB22" i="9"/>
  <c r="AD16" i="6"/>
  <c r="AV35" i="8"/>
  <c r="Q35" i="8"/>
  <c r="BO16" i="6"/>
  <c r="L35" i="8"/>
  <c r="BG16" i="6"/>
  <c r="AW35" i="8"/>
  <c r="U35" i="8"/>
  <c r="AS35" i="8"/>
  <c r="BB35" i="8"/>
  <c r="BF15" i="6"/>
  <c r="H15" i="6" s="1"/>
  <c r="BG35" i="8"/>
  <c r="I32" i="8"/>
  <c r="BC35" i="8"/>
  <c r="AD35" i="8"/>
  <c r="M35" i="8"/>
  <c r="AY35" i="8"/>
  <c r="BP35" i="8"/>
  <c r="AZ35" i="8"/>
  <c r="BC16" i="6"/>
  <c r="BF10" i="6"/>
  <c r="H10" i="6" s="1"/>
  <c r="H29" i="8"/>
  <c r="AN35" i="8"/>
  <c r="BF35" i="8"/>
  <c r="H35" i="8" s="1"/>
  <c r="AU10" i="6"/>
  <c r="AU16" i="6" s="1"/>
  <c r="AO16" i="6"/>
  <c r="BK16" i="6"/>
  <c r="V13" i="6"/>
  <c r="E13" i="6" s="1"/>
  <c r="BH35" i="8"/>
  <c r="AP35" i="8"/>
  <c r="AR35" i="8"/>
  <c r="AX35" i="8"/>
  <c r="AL35" i="8"/>
  <c r="AG35" i="8"/>
  <c r="AO35" i="8"/>
  <c r="BK35" i="8"/>
  <c r="BQ22" i="9"/>
  <c r="BO22" i="9"/>
  <c r="BH22" i="9"/>
  <c r="BJ22" i="9"/>
  <c r="BK22" i="9"/>
  <c r="BR22" i="9"/>
  <c r="O22" i="9"/>
  <c r="BD21" i="9"/>
  <c r="BM22" i="9"/>
  <c r="BL22" i="9"/>
  <c r="BP22" i="9"/>
  <c r="V21" i="9"/>
  <c r="N21" i="9"/>
  <c r="BI22" i="9"/>
  <c r="BN22" i="9"/>
  <c r="P21" i="9"/>
  <c r="AT21" i="9"/>
  <c r="AO21" i="9"/>
  <c r="AN21" i="9"/>
  <c r="AD21" i="9"/>
  <c r="Q21" i="9"/>
  <c r="AM21" i="9"/>
  <c r="O21" i="9"/>
  <c r="AX22" i="9"/>
  <c r="AZ22" i="9"/>
  <c r="AG21" i="9"/>
  <c r="AE21" i="9"/>
  <c r="AY22" i="9"/>
  <c r="Z21" i="9"/>
  <c r="AF21" i="9"/>
  <c r="BA22" i="9"/>
  <c r="BE22" i="9"/>
  <c r="BF22" i="9"/>
  <c r="AW22" i="9"/>
  <c r="X21" i="9"/>
  <c r="Y21" i="9"/>
  <c r="BD22" i="9"/>
  <c r="BC22" i="9"/>
  <c r="AV22" i="9"/>
  <c r="AL21" i="9"/>
  <c r="AX21" i="9"/>
  <c r="BK21" i="9"/>
  <c r="BE21" i="9"/>
  <c r="AW21" i="9"/>
  <c r="BC21" i="9"/>
  <c r="BB21" i="9"/>
  <c r="AU21" i="9"/>
  <c r="AV21" i="9"/>
  <c r="AN22" i="9"/>
  <c r="AJ22" i="9"/>
  <c r="AI22" i="9"/>
  <c r="AT22" i="9"/>
  <c r="AL22" i="9"/>
  <c r="AO22" i="9"/>
  <c r="AS22" i="9"/>
  <c r="AK22" i="9"/>
  <c r="AR22" i="9"/>
  <c r="AM22" i="9"/>
  <c r="AP22" i="9"/>
  <c r="S11" i="8"/>
  <c r="S31" i="9" s="1"/>
  <c r="S38" i="9" s="1"/>
  <c r="E5" i="8"/>
  <c r="L22" i="9"/>
  <c r="P22" i="9"/>
  <c r="T22" i="9"/>
  <c r="U22" i="9"/>
  <c r="R22" i="9"/>
  <c r="BL21" i="9"/>
  <c r="BM21" i="9"/>
  <c r="M22" i="9"/>
  <c r="Q22" i="9"/>
  <c r="K22" i="9"/>
  <c r="V22" i="9"/>
  <c r="BR21" i="9"/>
  <c r="BJ21" i="9"/>
  <c r="BO26" i="8" a="1"/>
  <c r="BO26" i="8" s="1"/>
  <c r="BG26" i="8" a="1"/>
  <c r="BG26" i="8" s="1"/>
  <c r="AY26" i="8" a="1"/>
  <c r="AY26" i="8" s="1"/>
  <c r="AQ26" i="8" a="1"/>
  <c r="AQ26" i="8" s="1"/>
  <c r="AI26" i="8" a="1"/>
  <c r="AI26" i="8" s="1"/>
  <c r="AA26" i="8" a="1"/>
  <c r="AA26" i="8" s="1"/>
  <c r="S26" i="8" a="1"/>
  <c r="S26" i="8" s="1"/>
  <c r="K26" i="8" a="1"/>
  <c r="K26" i="8" s="1"/>
  <c r="BM25" i="8" a="1"/>
  <c r="BM25" i="8" s="1"/>
  <c r="BE25" i="8" a="1"/>
  <c r="BE25" i="8" s="1"/>
  <c r="AW25" i="8" a="1"/>
  <c r="AW25" i="8" s="1"/>
  <c r="AO25" i="8" a="1"/>
  <c r="AO25" i="8" s="1"/>
  <c r="AG25" i="8" a="1"/>
  <c r="AG25" i="8" s="1"/>
  <c r="Y25" i="8" a="1"/>
  <c r="Y25" i="8" s="1"/>
  <c r="R25" i="8" a="1"/>
  <c r="R25" i="8" s="1"/>
  <c r="BR24" i="8" a="1"/>
  <c r="BR24" i="8" s="1"/>
  <c r="I24" i="8" s="1"/>
  <c r="BJ24" i="8" a="1"/>
  <c r="BJ24" i="8" s="1"/>
  <c r="BB24" i="8" a="1"/>
  <c r="BB24" i="8" s="1"/>
  <c r="AU24" i="8" a="1"/>
  <c r="AU24" i="8" s="1"/>
  <c r="AM24" i="8" a="1"/>
  <c r="AM24" i="8" s="1"/>
  <c r="AE24" i="8" a="1"/>
  <c r="AE24" i="8" s="1"/>
  <c r="W24" i="8" a="1"/>
  <c r="W24" i="8" s="1"/>
  <c r="O24" i="8" a="1"/>
  <c r="O24" i="8" s="1"/>
  <c r="BO23" i="8" a="1"/>
  <c r="BO23" i="8" s="1"/>
  <c r="BG23" i="8" a="1"/>
  <c r="BG23" i="8" s="1"/>
  <c r="AY23" i="8" a="1"/>
  <c r="AY23" i="8" s="1"/>
  <c r="AR23" i="8" a="1"/>
  <c r="AR23" i="8" s="1"/>
  <c r="AJ23" i="8" a="1"/>
  <c r="AJ23" i="8" s="1"/>
  <c r="BN26" i="8" a="1"/>
  <c r="BN26" i="8" s="1"/>
  <c r="BF26" i="8" a="1"/>
  <c r="BF26" i="8" s="1"/>
  <c r="H26" i="8" s="1"/>
  <c r="AX26" i="8" a="1"/>
  <c r="AX26" i="8" s="1"/>
  <c r="AP26" i="8" a="1"/>
  <c r="AP26" i="8" s="1"/>
  <c r="AH26" i="8" a="1"/>
  <c r="AH26" i="8" s="1"/>
  <c r="F26" i="8" s="1"/>
  <c r="Z26" i="8" a="1"/>
  <c r="Z26" i="8" s="1"/>
  <c r="R26" i="8" a="1"/>
  <c r="R26" i="8" s="1"/>
  <c r="BL25" i="8" a="1"/>
  <c r="BL25" i="8" s="1"/>
  <c r="BD25" i="8" a="1"/>
  <c r="BD25" i="8" s="1"/>
  <c r="AV25" i="8" a="1"/>
  <c r="AV25" i="8" s="1"/>
  <c r="AN25" i="8" a="1"/>
  <c r="AN25" i="8" s="1"/>
  <c r="AF25" i="8" a="1"/>
  <c r="AF25" i="8" s="1"/>
  <c r="X25" i="8" a="1"/>
  <c r="X25" i="8" s="1"/>
  <c r="Q25" i="8" a="1"/>
  <c r="Q25" i="8" s="1"/>
  <c r="BQ24" i="8" a="1"/>
  <c r="BQ24" i="8" s="1"/>
  <c r="BI24" i="8" a="1"/>
  <c r="BI24" i="8" s="1"/>
  <c r="BA24" i="8" a="1"/>
  <c r="BA24" i="8" s="1"/>
  <c r="AT24" i="8" a="1"/>
  <c r="AT24" i="8" s="1"/>
  <c r="G24" i="8" s="1"/>
  <c r="AL24" i="8" a="1"/>
  <c r="AL24" i="8" s="1"/>
  <c r="AD24" i="8" a="1"/>
  <c r="AD24" i="8" s="1"/>
  <c r="V24" i="8" a="1"/>
  <c r="V24" i="8" s="1"/>
  <c r="E24" i="8" s="1"/>
  <c r="N24" i="8" a="1"/>
  <c r="N24" i="8" s="1"/>
  <c r="BN23" i="8" a="1"/>
  <c r="BN23" i="8" s="1"/>
  <c r="BF23" i="8" a="1"/>
  <c r="BF23" i="8" s="1"/>
  <c r="H23" i="8" s="1"/>
  <c r="AX23" i="8" a="1"/>
  <c r="AX23" i="8" s="1"/>
  <c r="AQ23" i="8" a="1"/>
  <c r="AQ23" i="8" s="1"/>
  <c r="BM26" i="8" a="1"/>
  <c r="BM26" i="8" s="1"/>
  <c r="BE26" i="8" a="1"/>
  <c r="BE26" i="8" s="1"/>
  <c r="AW26" i="8" a="1"/>
  <c r="AW26" i="8" s="1"/>
  <c r="AO26" i="8" a="1"/>
  <c r="AO26" i="8" s="1"/>
  <c r="AG26" i="8" a="1"/>
  <c r="AG26" i="8" s="1"/>
  <c r="Y26" i="8" a="1"/>
  <c r="Y26" i="8" s="1"/>
  <c r="Q26" i="8" a="1"/>
  <c r="Q26" i="8" s="1"/>
  <c r="BK25" i="8" a="1"/>
  <c r="BK25" i="8" s="1"/>
  <c r="BC25" i="8" a="1"/>
  <c r="BC25" i="8" s="1"/>
  <c r="AU25" i="8" a="1"/>
  <c r="AU25" i="8" s="1"/>
  <c r="AM25" i="8" a="1"/>
  <c r="AM25" i="8" s="1"/>
  <c r="AE25" i="8" a="1"/>
  <c r="AE25" i="8" s="1"/>
  <c r="P25" i="8" a="1"/>
  <c r="P25" i="8" s="1"/>
  <c r="BP24" i="8" a="1"/>
  <c r="BP24" i="8" s="1"/>
  <c r="BH24" i="8" a="1"/>
  <c r="BH24" i="8" s="1"/>
  <c r="AZ24" i="8" a="1"/>
  <c r="AZ24" i="8" s="1"/>
  <c r="AS24" i="8" a="1"/>
  <c r="AS24" i="8" s="1"/>
  <c r="AK24" i="8" a="1"/>
  <c r="AK24" i="8" s="1"/>
  <c r="AC24" i="8" a="1"/>
  <c r="AC24" i="8" s="1"/>
  <c r="U24" i="8" a="1"/>
  <c r="U24" i="8" s="1"/>
  <c r="BL26" i="8" a="1"/>
  <c r="BL26" i="8" s="1"/>
  <c r="BD26" i="8" a="1"/>
  <c r="BD26" i="8" s="1"/>
  <c r="AV26" i="8" a="1"/>
  <c r="AV26" i="8" s="1"/>
  <c r="AN26" i="8" a="1"/>
  <c r="AN26" i="8" s="1"/>
  <c r="AF26" i="8" a="1"/>
  <c r="AF26" i="8" s="1"/>
  <c r="X26" i="8" a="1"/>
  <c r="X26" i="8" s="1"/>
  <c r="P26" i="8" a="1"/>
  <c r="P26" i="8" s="1"/>
  <c r="BR25" i="8" a="1"/>
  <c r="BR25" i="8" s="1"/>
  <c r="BJ25" i="8" a="1"/>
  <c r="BJ25" i="8" s="1"/>
  <c r="BB25" i="8" a="1"/>
  <c r="BB25" i="8" s="1"/>
  <c r="AT25" i="8" a="1"/>
  <c r="AT25" i="8" s="1"/>
  <c r="AL25" i="8" a="1"/>
  <c r="AL25" i="8" s="1"/>
  <c r="AD25" i="8" a="1"/>
  <c r="AD25" i="8" s="1"/>
  <c r="W25" i="8" a="1"/>
  <c r="W25" i="8" s="1"/>
  <c r="O25" i="8" a="1"/>
  <c r="O25" i="8" s="1"/>
  <c r="BO24" i="8" a="1"/>
  <c r="BO24" i="8" s="1"/>
  <c r="BG24" i="8" a="1"/>
  <c r="BG24" i="8" s="1"/>
  <c r="AR24" i="8" a="1"/>
  <c r="AR24" i="8" s="1"/>
  <c r="AJ24" i="8" a="1"/>
  <c r="AJ24" i="8" s="1"/>
  <c r="AB24" i="8" a="1"/>
  <c r="AB24" i="8" s="1"/>
  <c r="T24" i="8" a="1"/>
  <c r="T24" i="8" s="1"/>
  <c r="L24" i="8" a="1"/>
  <c r="L24" i="8" s="1"/>
  <c r="BL23" i="8" a="1"/>
  <c r="BL23" i="8" s="1"/>
  <c r="BD23" i="8" a="1"/>
  <c r="BD23" i="8" s="1"/>
  <c r="AO23" i="8" a="1"/>
  <c r="AO23" i="8" s="1"/>
  <c r="AG23" i="8" a="1"/>
  <c r="AG23" i="8" s="1"/>
  <c r="R23" i="8" a="1"/>
  <c r="R23" i="8" s="1"/>
  <c r="K23" i="8" a="1"/>
  <c r="K23" i="8" s="1"/>
  <c r="BK22" i="8" a="1"/>
  <c r="BK22" i="8" s="1"/>
  <c r="BC22" i="8" a="1"/>
  <c r="BC22" i="8" s="1"/>
  <c r="AU22" i="8" a="1"/>
  <c r="AU22" i="8" s="1"/>
  <c r="BR26" i="8" a="1"/>
  <c r="BR26" i="8" s="1"/>
  <c r="I26" i="8" s="1"/>
  <c r="BJ26" i="8" a="1"/>
  <c r="BJ26" i="8" s="1"/>
  <c r="BB26" i="8" a="1"/>
  <c r="BB26" i="8" s="1"/>
  <c r="AT26" i="8" a="1"/>
  <c r="AT26" i="8" s="1"/>
  <c r="G26" i="8" s="1"/>
  <c r="AL26" i="8" a="1"/>
  <c r="AL26" i="8" s="1"/>
  <c r="AD26" i="8" a="1"/>
  <c r="AD26" i="8" s="1"/>
  <c r="V26" i="8" a="1"/>
  <c r="V26" i="8" s="1"/>
  <c r="E26" i="8" s="1"/>
  <c r="N26" i="8" a="1"/>
  <c r="N26" i="8" s="1"/>
  <c r="BP25" i="8" a="1"/>
  <c r="BP25" i="8" s="1"/>
  <c r="BH25" i="8" a="1"/>
  <c r="BH25" i="8" s="1"/>
  <c r="AZ25" i="8" a="1"/>
  <c r="AZ25" i="8" s="1"/>
  <c r="AR25" i="8" a="1"/>
  <c r="AR25" i="8" s="1"/>
  <c r="AJ25" i="8" a="1"/>
  <c r="AJ25" i="8" s="1"/>
  <c r="AB25" i="8" a="1"/>
  <c r="AB25" i="8" s="1"/>
  <c r="U25" i="8" a="1"/>
  <c r="U25" i="8" s="1"/>
  <c r="M25" i="8" a="1"/>
  <c r="M25" i="8" s="1"/>
  <c r="BM24" i="8" a="1"/>
  <c r="BM24" i="8" s="1"/>
  <c r="BE24" i="8" a="1"/>
  <c r="BE24" i="8" s="1"/>
  <c r="AX24" i="8" a="1"/>
  <c r="AX24" i="8" s="1"/>
  <c r="AP24" i="8" a="1"/>
  <c r="AP24" i="8" s="1"/>
  <c r="AH24" i="8" a="1"/>
  <c r="AH24" i="8" s="1"/>
  <c r="F24" i="8" s="1"/>
  <c r="Z24" i="8" a="1"/>
  <c r="Z24" i="8" s="1"/>
  <c r="R24" i="8" a="1"/>
  <c r="R24" i="8" s="1"/>
  <c r="BR23" i="8" a="1"/>
  <c r="BR23" i="8" s="1"/>
  <c r="I23" i="8" s="1"/>
  <c r="BJ23" i="8" a="1"/>
  <c r="BJ23" i="8" s="1"/>
  <c r="BB23" i="8" a="1"/>
  <c r="BB23" i="8" s="1"/>
  <c r="AU23" i="8" a="1"/>
  <c r="AU23" i="8" s="1"/>
  <c r="AM23" i="8" a="1"/>
  <c r="AM23" i="8" s="1"/>
  <c r="AE23" i="8" a="1"/>
  <c r="AE23" i="8" s="1"/>
  <c r="X23" i="8" a="1"/>
  <c r="X23" i="8" s="1"/>
  <c r="P23" i="8" a="1"/>
  <c r="P23" i="8" s="1"/>
  <c r="BQ26" i="8" a="1"/>
  <c r="BQ26" i="8" s="1"/>
  <c r="BI26" i="8" a="1"/>
  <c r="BI26" i="8" s="1"/>
  <c r="BA26" i="8" a="1"/>
  <c r="BA26" i="8" s="1"/>
  <c r="AS26" i="8" a="1"/>
  <c r="AS26" i="8" s="1"/>
  <c r="AK26" i="8" a="1"/>
  <c r="AK26" i="8" s="1"/>
  <c r="AC26" i="8" a="1"/>
  <c r="AC26" i="8" s="1"/>
  <c r="U26" i="8" a="1"/>
  <c r="U26" i="8" s="1"/>
  <c r="M26" i="8" a="1"/>
  <c r="M26" i="8" s="1"/>
  <c r="BO25" i="8" a="1"/>
  <c r="BO25" i="8" s="1"/>
  <c r="BG25" i="8" a="1"/>
  <c r="BG25" i="8" s="1"/>
  <c r="AY25" i="8" a="1"/>
  <c r="AY25" i="8" s="1"/>
  <c r="AQ25" i="8" a="1"/>
  <c r="AQ25" i="8" s="1"/>
  <c r="AI25" i="8" a="1"/>
  <c r="AI25" i="8" s="1"/>
  <c r="AA25" i="8" a="1"/>
  <c r="AA25" i="8" s="1"/>
  <c r="T25" i="8" a="1"/>
  <c r="T25" i="8" s="1"/>
  <c r="L25" i="8" a="1"/>
  <c r="L25" i="8" s="1"/>
  <c r="BL24" i="8" a="1"/>
  <c r="BL24" i="8" s="1"/>
  <c r="BD24" i="8" a="1"/>
  <c r="BD24" i="8" s="1"/>
  <c r="AW24" i="8" a="1"/>
  <c r="AW24" i="8" s="1"/>
  <c r="AO24" i="8" a="1"/>
  <c r="AO24" i="8" s="1"/>
  <c r="AG24" i="8" a="1"/>
  <c r="AG24" i="8" s="1"/>
  <c r="Y24" i="8" a="1"/>
  <c r="Y24" i="8" s="1"/>
  <c r="Q24" i="8" a="1"/>
  <c r="Q24" i="8" s="1"/>
  <c r="BQ23" i="8" a="1"/>
  <c r="BQ23" i="8" s="1"/>
  <c r="BI23" i="8" a="1"/>
  <c r="BI23" i="8" s="1"/>
  <c r="BA23" i="8" a="1"/>
  <c r="BA23" i="8" s="1"/>
  <c r="AT23" i="8" a="1"/>
  <c r="AT23" i="8" s="1"/>
  <c r="G23" i="8" s="1"/>
  <c r="AL23" i="8" a="1"/>
  <c r="AL23" i="8" s="1"/>
  <c r="AD23" i="8" a="1"/>
  <c r="AD23" i="8" s="1"/>
  <c r="W23" i="8" a="1"/>
  <c r="W23" i="8" s="1"/>
  <c r="BP26" i="8" a="1"/>
  <c r="BP26" i="8" s="1"/>
  <c r="BH26" i="8" a="1"/>
  <c r="BH26" i="8" s="1"/>
  <c r="AZ26" i="8" a="1"/>
  <c r="AZ26" i="8" s="1"/>
  <c r="AR26" i="8" a="1"/>
  <c r="AR26" i="8" s="1"/>
  <c r="AJ26" i="8" a="1"/>
  <c r="AJ26" i="8" s="1"/>
  <c r="AB26" i="8" a="1"/>
  <c r="AB26" i="8" s="1"/>
  <c r="T26" i="8" a="1"/>
  <c r="T26" i="8" s="1"/>
  <c r="L26" i="8" a="1"/>
  <c r="L26" i="8" s="1"/>
  <c r="BN25" i="8" a="1"/>
  <c r="BN25" i="8" s="1"/>
  <c r="BF25" i="8" a="1"/>
  <c r="BF25" i="8" s="1"/>
  <c r="AX25" i="8" a="1"/>
  <c r="AX25" i="8" s="1"/>
  <c r="AP25" i="8" a="1"/>
  <c r="AP25" i="8" s="1"/>
  <c r="AH25" i="8" a="1"/>
  <c r="AH25" i="8" s="1"/>
  <c r="Z25" i="8" a="1"/>
  <c r="Z25" i="8" s="1"/>
  <c r="S25" i="8" a="1"/>
  <c r="S25" i="8" s="1"/>
  <c r="K25" i="8" a="1"/>
  <c r="K25" i="8" s="1"/>
  <c r="BK24" i="8" a="1"/>
  <c r="BK24" i="8" s="1"/>
  <c r="BC24" i="8" a="1"/>
  <c r="BC24" i="8" s="1"/>
  <c r="AV24" i="8" a="1"/>
  <c r="AV24" i="8" s="1"/>
  <c r="AN24" i="8" a="1"/>
  <c r="AN24" i="8" s="1"/>
  <c r="AF24" i="8" a="1"/>
  <c r="AF24" i="8" s="1"/>
  <c r="X24" i="8" a="1"/>
  <c r="X24" i="8" s="1"/>
  <c r="P24" i="8" a="1"/>
  <c r="P24" i="8" s="1"/>
  <c r="BP23" i="8" a="1"/>
  <c r="BP23" i="8" s="1"/>
  <c r="BH23" i="8" a="1"/>
  <c r="BH23" i="8" s="1"/>
  <c r="AZ23" i="8" a="1"/>
  <c r="AZ23" i="8" s="1"/>
  <c r="AS23" i="8" a="1"/>
  <c r="AS23" i="8" s="1"/>
  <c r="AK23" i="8" a="1"/>
  <c r="AK23" i="8" s="1"/>
  <c r="AC23" i="8" a="1"/>
  <c r="AC23" i="8" s="1"/>
  <c r="V23" i="8" a="1"/>
  <c r="V23" i="8" s="1"/>
  <c r="E23" i="8" s="1"/>
  <c r="O23" i="8" a="1"/>
  <c r="O23" i="8" s="1"/>
  <c r="BO22" i="8" a="1"/>
  <c r="BO22" i="8" s="1"/>
  <c r="BG22" i="8" a="1"/>
  <c r="BG22" i="8" s="1"/>
  <c r="AY22" i="8" a="1"/>
  <c r="AY22" i="8" s="1"/>
  <c r="AQ22" i="8" a="1"/>
  <c r="AQ22" i="8" s="1"/>
  <c r="AI22" i="8" a="1"/>
  <c r="AI22" i="8" s="1"/>
  <c r="AA22" i="8" a="1"/>
  <c r="AA22" i="8" s="1"/>
  <c r="AE26" i="8" a="1"/>
  <c r="AE26" i="8" s="1"/>
  <c r="AC25" i="8" a="1"/>
  <c r="AC25" i="8" s="1"/>
  <c r="AA24" i="8" a="1"/>
  <c r="AA24" i="8" s="1"/>
  <c r="AW23" i="8" a="1"/>
  <c r="AW23" i="8" s="1"/>
  <c r="AA23" i="8" a="1"/>
  <c r="AA23" i="8" s="1"/>
  <c r="N23" i="8" a="1"/>
  <c r="N23" i="8" s="1"/>
  <c r="BL22" i="8" a="1"/>
  <c r="BL22" i="8" s="1"/>
  <c r="BA22" i="8" a="1"/>
  <c r="BA22" i="8" s="1"/>
  <c r="AP22" i="8" a="1"/>
  <c r="AP22" i="8" s="1"/>
  <c r="AG22" i="8" a="1"/>
  <c r="AG22" i="8" s="1"/>
  <c r="X22" i="8" a="1"/>
  <c r="X22" i="8" s="1"/>
  <c r="P22" i="8" a="1"/>
  <c r="P22" i="8" s="1"/>
  <c r="BP21" i="8" a="1"/>
  <c r="BP21" i="8" s="1"/>
  <c r="BH21" i="8" a="1"/>
  <c r="BH21" i="8" s="1"/>
  <c r="BA21" i="8" a="1"/>
  <c r="BA21" i="8" s="1"/>
  <c r="AS21" i="8" a="1"/>
  <c r="AS21" i="8" s="1"/>
  <c r="AK21" i="8" a="1"/>
  <c r="AK21" i="8" s="1"/>
  <c r="AC21" i="8" a="1"/>
  <c r="AC21" i="8" s="1"/>
  <c r="V21" i="8" a="1"/>
  <c r="V21" i="8" s="1"/>
  <c r="BP18" i="7"/>
  <c r="BH18" i="7"/>
  <c r="AZ18" i="7"/>
  <c r="AR18" i="7"/>
  <c r="AJ18" i="7"/>
  <c r="AB18" i="7"/>
  <c r="T18" i="7"/>
  <c r="L18" i="7"/>
  <c r="BQ17" i="7"/>
  <c r="BI17" i="7"/>
  <c r="BA17" i="7"/>
  <c r="AS17" i="7"/>
  <c r="AL17" i="7"/>
  <c r="AD17" i="7"/>
  <c r="V17" i="7"/>
  <c r="N17" i="7"/>
  <c r="BN16" i="7"/>
  <c r="BF16" i="7"/>
  <c r="AY16" i="7"/>
  <c r="AQ16" i="7"/>
  <c r="U16" i="7"/>
  <c r="M16" i="7"/>
  <c r="BM15" i="7"/>
  <c r="BE15" i="7"/>
  <c r="AW15" i="7"/>
  <c r="AP15" i="7"/>
  <c r="AH15" i="7"/>
  <c r="Z15" i="7"/>
  <c r="R15" i="7"/>
  <c r="W26" i="8" a="1"/>
  <c r="W26" i="8" s="1"/>
  <c r="V25" i="8" a="1"/>
  <c r="V25" i="8" s="1"/>
  <c r="S24" i="8" a="1"/>
  <c r="S24" i="8" s="1"/>
  <c r="AV23" i="8" a="1"/>
  <c r="AV23" i="8" s="1"/>
  <c r="Z23" i="8" a="1"/>
  <c r="Z23" i="8" s="1"/>
  <c r="M23" i="8" a="1"/>
  <c r="M23" i="8" s="1"/>
  <c r="BJ22" i="8" a="1"/>
  <c r="BJ22" i="8" s="1"/>
  <c r="AZ22" i="8" a="1"/>
  <c r="AZ22" i="8" s="1"/>
  <c r="AO22" i="8" a="1"/>
  <c r="AO22" i="8" s="1"/>
  <c r="AF22" i="8" a="1"/>
  <c r="AF22" i="8" s="1"/>
  <c r="W22" i="8" a="1"/>
  <c r="W22" i="8" s="1"/>
  <c r="O22" i="8" a="1"/>
  <c r="O22" i="8" s="1"/>
  <c r="BO21" i="8" a="1"/>
  <c r="BO21" i="8" s="1"/>
  <c r="BG21" i="8" a="1"/>
  <c r="BG21" i="8" s="1"/>
  <c r="AZ21" i="8" a="1"/>
  <c r="AZ21" i="8" s="1"/>
  <c r="AR21" i="8" a="1"/>
  <c r="AR21" i="8" s="1"/>
  <c r="AJ21" i="8" a="1"/>
  <c r="AJ21" i="8" s="1"/>
  <c r="AB21" i="8" a="1"/>
  <c r="AB21" i="8" s="1"/>
  <c r="U21" i="8" a="1"/>
  <c r="U21" i="8" s="1"/>
  <c r="N21" i="8" a="1"/>
  <c r="N21" i="8" s="1"/>
  <c r="BO18" i="7"/>
  <c r="AY18" i="7"/>
  <c r="AQ18" i="7"/>
  <c r="AA18" i="7"/>
  <c r="S18" i="7"/>
  <c r="BP17" i="7"/>
  <c r="BH17" i="7"/>
  <c r="AZ17" i="7"/>
  <c r="AR17" i="7"/>
  <c r="AK17" i="7"/>
  <c r="AC17" i="7"/>
  <c r="U17" i="7"/>
  <c r="M17" i="7"/>
  <c r="BM16" i="7"/>
  <c r="BE16" i="7"/>
  <c r="AX16" i="7"/>
  <c r="AP16" i="7"/>
  <c r="AH16" i="7"/>
  <c r="AB16" i="7"/>
  <c r="T16" i="7"/>
  <c r="L16" i="7"/>
  <c r="BL15" i="7"/>
  <c r="BD15" i="7"/>
  <c r="AV15" i="7"/>
  <c r="AO15" i="7"/>
  <c r="AG15" i="7"/>
  <c r="Y15" i="7"/>
  <c r="Q15" i="7"/>
  <c r="Q22" i="8" a="1"/>
  <c r="Q22" i="8" s="1"/>
  <c r="AD21" i="8" a="1"/>
  <c r="AD21" i="8" s="1"/>
  <c r="BA18" i="7"/>
  <c r="U18" i="7"/>
  <c r="BR17" i="7"/>
  <c r="AR16" i="7"/>
  <c r="N16" i="7"/>
  <c r="AQ15" i="7"/>
  <c r="L15" i="7"/>
  <c r="O26" i="8" a="1"/>
  <c r="O26" i="8" s="1"/>
  <c r="N25" i="8" a="1"/>
  <c r="N25" i="8" s="1"/>
  <c r="M24" i="8" a="1"/>
  <c r="M24" i="8" s="1"/>
  <c r="AP23" i="8" a="1"/>
  <c r="AP23" i="8" s="1"/>
  <c r="Y23" i="8" a="1"/>
  <c r="Y23" i="8" s="1"/>
  <c r="L23" i="8" a="1"/>
  <c r="L23" i="8" s="1"/>
  <c r="BI22" i="8" a="1"/>
  <c r="BI22" i="8" s="1"/>
  <c r="AX22" i="8" a="1"/>
  <c r="AX22" i="8" s="1"/>
  <c r="AN22" i="8" a="1"/>
  <c r="AN22" i="8" s="1"/>
  <c r="AE22" i="8" a="1"/>
  <c r="AE22" i="8" s="1"/>
  <c r="V22" i="8" a="1"/>
  <c r="V22" i="8" s="1"/>
  <c r="E22" i="8" s="1"/>
  <c r="N22" i="8" a="1"/>
  <c r="N22" i="8" s="1"/>
  <c r="BN21" i="8" a="1"/>
  <c r="BN21" i="8" s="1"/>
  <c r="AY21" i="8" a="1"/>
  <c r="AY21" i="8" s="1"/>
  <c r="AQ21" i="8" a="1"/>
  <c r="AQ21" i="8" s="1"/>
  <c r="AI21" i="8" a="1"/>
  <c r="AI21" i="8" s="1"/>
  <c r="AA21" i="8" a="1"/>
  <c r="AA21" i="8" s="1"/>
  <c r="T21" i="8" a="1"/>
  <c r="T21" i="8" s="1"/>
  <c r="M21" i="8" a="1"/>
  <c r="M21" i="8" s="1"/>
  <c r="BN18" i="7"/>
  <c r="BF18" i="7"/>
  <c r="AX18" i="7"/>
  <c r="AP18" i="7"/>
  <c r="AH18" i="7"/>
  <c r="Z18" i="7"/>
  <c r="R18" i="7"/>
  <c r="BO17" i="7"/>
  <c r="AY17" i="7"/>
  <c r="AQ17" i="7"/>
  <c r="AJ17" i="7"/>
  <c r="AB17" i="7"/>
  <c r="T17" i="7"/>
  <c r="L17" i="7"/>
  <c r="BL16" i="7"/>
  <c r="BD16" i="7"/>
  <c r="AW16" i="7"/>
  <c r="AO16" i="7"/>
  <c r="AG16" i="7"/>
  <c r="AA16" i="7"/>
  <c r="S16" i="7"/>
  <c r="BK15" i="7"/>
  <c r="BC15" i="7"/>
  <c r="AN15" i="7"/>
  <c r="AF15" i="7"/>
  <c r="X15" i="7"/>
  <c r="P15" i="7"/>
  <c r="BQ25" i="8" a="1"/>
  <c r="BQ25" i="8" s="1"/>
  <c r="BN24" i="8" a="1"/>
  <c r="BN24" i="8" s="1"/>
  <c r="K24" i="8" a="1"/>
  <c r="K24" i="8" s="1"/>
  <c r="AN23" i="8" a="1"/>
  <c r="AN23" i="8" s="1"/>
  <c r="U23" i="8" a="1"/>
  <c r="U23" i="8" s="1"/>
  <c r="BR22" i="8" a="1"/>
  <c r="BR22" i="8" s="1"/>
  <c r="I22" i="8" s="1"/>
  <c r="BH22" i="8" a="1"/>
  <c r="BH22" i="8" s="1"/>
  <c r="AW22" i="8" a="1"/>
  <c r="AW22" i="8" s="1"/>
  <c r="AM22" i="8" a="1"/>
  <c r="AM22" i="8" s="1"/>
  <c r="AD22" i="8" a="1"/>
  <c r="AD22" i="8" s="1"/>
  <c r="U22" i="8" a="1"/>
  <c r="U22" i="8" s="1"/>
  <c r="M22" i="8" a="1"/>
  <c r="M22" i="8" s="1"/>
  <c r="BM21" i="8" a="1"/>
  <c r="BM21" i="8" s="1"/>
  <c r="BF21" i="8" a="1"/>
  <c r="BF21" i="8" s="1"/>
  <c r="AX21" i="8" a="1"/>
  <c r="AX21" i="8" s="1"/>
  <c r="AP21" i="8" a="1"/>
  <c r="AP21" i="8" s="1"/>
  <c r="AH21" i="8" a="1"/>
  <c r="AH21" i="8" s="1"/>
  <c r="Z21" i="8" a="1"/>
  <c r="Z21" i="8" s="1"/>
  <c r="S21" i="8" a="1"/>
  <c r="S21" i="8" s="1"/>
  <c r="L21" i="8" a="1"/>
  <c r="L21" i="8" s="1"/>
  <c r="BM18" i="7"/>
  <c r="BE18" i="7"/>
  <c r="AW18" i="7"/>
  <c r="AO18" i="7"/>
  <c r="AG18" i="7"/>
  <c r="Y18" i="7"/>
  <c r="Q18" i="7"/>
  <c r="BN17" i="7"/>
  <c r="BF17" i="7"/>
  <c r="AX17" i="7"/>
  <c r="AP17" i="7"/>
  <c r="AA17" i="7"/>
  <c r="S17" i="7"/>
  <c r="BK16" i="7"/>
  <c r="BC16" i="7"/>
  <c r="AV16" i="7"/>
  <c r="AN16" i="7"/>
  <c r="Z16" i="7"/>
  <c r="R16" i="7"/>
  <c r="BR15" i="7"/>
  <c r="BJ15" i="7"/>
  <c r="BB15" i="7"/>
  <c r="AM15" i="7"/>
  <c r="AE15" i="7"/>
  <c r="O15" i="7"/>
  <c r="BQ21" i="8" a="1"/>
  <c r="BQ21" i="8" s="1"/>
  <c r="O21" i="8" a="1"/>
  <c r="O21" i="8" s="1"/>
  <c r="AK18" i="7"/>
  <c r="AE17" i="7"/>
  <c r="AZ16" i="7"/>
  <c r="BN15" i="7"/>
  <c r="AA15" i="7"/>
  <c r="BK26" i="8" a="1"/>
  <c r="BK26" i="8" s="1"/>
  <c r="BI25" i="8" a="1"/>
  <c r="BI25" i="8" s="1"/>
  <c r="BF24" i="8" a="1"/>
  <c r="BF24" i="8" s="1"/>
  <c r="H24" i="8" s="1"/>
  <c r="BM23" i="8" a="1"/>
  <c r="BM23" i="8" s="1"/>
  <c r="AI23" i="8" a="1"/>
  <c r="AI23" i="8" s="1"/>
  <c r="T23" i="8" a="1"/>
  <c r="T23" i="8" s="1"/>
  <c r="BQ22" i="8" a="1"/>
  <c r="BQ22" i="8" s="1"/>
  <c r="BF22" i="8" a="1"/>
  <c r="BF22" i="8" s="1"/>
  <c r="H22" i="8" s="1"/>
  <c r="AV22" i="8" a="1"/>
  <c r="AV22" i="8" s="1"/>
  <c r="AL22" i="8" a="1"/>
  <c r="AL22" i="8" s="1"/>
  <c r="AC22" i="8" a="1"/>
  <c r="AC22" i="8" s="1"/>
  <c r="T22" i="8" a="1"/>
  <c r="T22" i="8" s="1"/>
  <c r="L22" i="8" a="1"/>
  <c r="L22" i="8" s="1"/>
  <c r="BL21" i="8" a="1"/>
  <c r="BL21" i="8" s="1"/>
  <c r="BE21" i="8" a="1"/>
  <c r="BE21" i="8" s="1"/>
  <c r="AW21" i="8" a="1"/>
  <c r="AW21" i="8" s="1"/>
  <c r="AO21" i="8" a="1"/>
  <c r="AO21" i="8" s="1"/>
  <c r="AG21" i="8" a="1"/>
  <c r="AG21" i="8" s="1"/>
  <c r="Y21" i="8" a="1"/>
  <c r="Y21" i="8" s="1"/>
  <c r="R21" i="8" a="1"/>
  <c r="R21" i="8" s="1"/>
  <c r="K21" i="8" a="1"/>
  <c r="K21" i="8" s="1"/>
  <c r="BL18" i="7"/>
  <c r="BD18" i="7"/>
  <c r="AV18" i="7"/>
  <c r="AN18" i="7"/>
  <c r="AF18" i="7"/>
  <c r="X18" i="7"/>
  <c r="P18" i="7"/>
  <c r="BM17" i="7"/>
  <c r="BE17" i="7"/>
  <c r="AW17" i="7"/>
  <c r="AO17" i="7"/>
  <c r="AH17" i="7"/>
  <c r="Z17" i="7"/>
  <c r="R17" i="7"/>
  <c r="BR16" i="7"/>
  <c r="BJ16" i="7"/>
  <c r="AM16" i="7"/>
  <c r="AF16" i="7"/>
  <c r="Y16" i="7"/>
  <c r="Q16" i="7"/>
  <c r="BQ15" i="7"/>
  <c r="BI15" i="7"/>
  <c r="BA15" i="7"/>
  <c r="AT15" i="7"/>
  <c r="AL15" i="7"/>
  <c r="AD15" i="7"/>
  <c r="V15" i="7"/>
  <c r="N15" i="7"/>
  <c r="Y22" i="8" a="1"/>
  <c r="Y22" i="8" s="1"/>
  <c r="AT21" i="8" a="1"/>
  <c r="AT21" i="8" s="1"/>
  <c r="BI18" i="7"/>
  <c r="M18" i="7"/>
  <c r="AT17" i="7"/>
  <c r="V16" i="7"/>
  <c r="BC26" i="8" a="1"/>
  <c r="BC26" i="8" s="1"/>
  <c r="BA25" i="8" a="1"/>
  <c r="BA25" i="8" s="1"/>
  <c r="AY24" i="8" a="1"/>
  <c r="AY24" i="8" s="1"/>
  <c r="BK23" i="8" a="1"/>
  <c r="BK23" i="8" s="1"/>
  <c r="AH23" i="8" a="1"/>
  <c r="AH23" i="8" s="1"/>
  <c r="F23" i="8" s="1"/>
  <c r="S23" i="8" a="1"/>
  <c r="S23" i="8" s="1"/>
  <c r="BP22" i="8" a="1"/>
  <c r="BP22" i="8" s="1"/>
  <c r="BE22" i="8" a="1"/>
  <c r="BE22" i="8" s="1"/>
  <c r="AT22" i="8" a="1"/>
  <c r="AT22" i="8" s="1"/>
  <c r="G22" i="8" s="1"/>
  <c r="AK22" i="8" a="1"/>
  <c r="AK22" i="8" s="1"/>
  <c r="AB22" i="8" a="1"/>
  <c r="AB22" i="8" s="1"/>
  <c r="S22" i="8" a="1"/>
  <c r="S22" i="8" s="1"/>
  <c r="K22" i="8" a="1"/>
  <c r="K22" i="8" s="1"/>
  <c r="BK21" i="8" a="1"/>
  <c r="BK21" i="8" s="1"/>
  <c r="BD21" i="8" a="1"/>
  <c r="BD21" i="8" s="1"/>
  <c r="AV21" i="8" a="1"/>
  <c r="AV21" i="8" s="1"/>
  <c r="AN21" i="8" a="1"/>
  <c r="AN21" i="8" s="1"/>
  <c r="AF21" i="8" a="1"/>
  <c r="AF21" i="8" s="1"/>
  <c r="X21" i="8" a="1"/>
  <c r="X21" i="8" s="1"/>
  <c r="Q21" i="8" a="1"/>
  <c r="Q21" i="8" s="1"/>
  <c r="BR18" i="7"/>
  <c r="BK18" i="7"/>
  <c r="BC18" i="7"/>
  <c r="AM18" i="7"/>
  <c r="AE18" i="7"/>
  <c r="O18" i="7"/>
  <c r="BL17" i="7"/>
  <c r="BD17" i="7"/>
  <c r="AV17" i="7"/>
  <c r="AN17" i="7"/>
  <c r="AG17" i="7"/>
  <c r="Y17" i="7"/>
  <c r="Q17" i="7"/>
  <c r="BQ16" i="7"/>
  <c r="BI16" i="7"/>
  <c r="BB16" i="7"/>
  <c r="AT16" i="7"/>
  <c r="AL16" i="7"/>
  <c r="AE16" i="7"/>
  <c r="X16" i="7"/>
  <c r="P16" i="7"/>
  <c r="BP15" i="7"/>
  <c r="BH15" i="7"/>
  <c r="AZ15" i="7"/>
  <c r="AS15" i="7"/>
  <c r="AK15" i="7"/>
  <c r="AC15" i="7"/>
  <c r="U15" i="7"/>
  <c r="M15" i="7"/>
  <c r="AM26" i="8" a="1"/>
  <c r="AM26" i="8" s="1"/>
  <c r="AI24" i="8" a="1"/>
  <c r="AI24" i="8" s="1"/>
  <c r="AB23" i="8" a="1"/>
  <c r="AB23" i="8" s="1"/>
  <c r="BB22" i="8" a="1"/>
  <c r="BB22" i="8" s="1"/>
  <c r="AH22" i="8" a="1"/>
  <c r="AH22" i="8" s="1"/>
  <c r="F22" i="8" s="1"/>
  <c r="BB21" i="8" a="1"/>
  <c r="BB21" i="8" s="1"/>
  <c r="BQ18" i="7"/>
  <c r="AC18" i="7"/>
  <c r="BB17" i="7"/>
  <c r="BO16" i="7"/>
  <c r="AC16" i="7"/>
  <c r="AX15" i="7"/>
  <c r="AU26" i="8" a="1"/>
  <c r="AU26" i="8" s="1"/>
  <c r="AS25" i="8" a="1"/>
  <c r="AS25" i="8" s="1"/>
  <c r="AQ24" i="8" a="1"/>
  <c r="AQ24" i="8" s="1"/>
  <c r="BE23" i="8" a="1"/>
  <c r="BE23" i="8" s="1"/>
  <c r="AF23" i="8" a="1"/>
  <c r="AF23" i="8" s="1"/>
  <c r="Q23" i="8" a="1"/>
  <c r="Q23" i="8" s="1"/>
  <c r="BN22" i="8" a="1"/>
  <c r="BN22" i="8" s="1"/>
  <c r="BD22" i="8" a="1"/>
  <c r="BD22" i="8" s="1"/>
  <c r="AS22" i="8" a="1"/>
  <c r="AS22" i="8" s="1"/>
  <c r="AJ22" i="8" a="1"/>
  <c r="AJ22" i="8" s="1"/>
  <c r="Z22" i="8" a="1"/>
  <c r="Z22" i="8" s="1"/>
  <c r="R22" i="8" a="1"/>
  <c r="R22" i="8" s="1"/>
  <c r="BR21" i="8" a="1"/>
  <c r="BR21" i="8" s="1"/>
  <c r="BJ21" i="8" a="1"/>
  <c r="BJ21" i="8" s="1"/>
  <c r="BC21" i="8" a="1"/>
  <c r="BC21" i="8" s="1"/>
  <c r="AU21" i="8" a="1"/>
  <c r="AU21" i="8" s="1"/>
  <c r="AM21" i="8" a="1"/>
  <c r="AM21" i="8" s="1"/>
  <c r="AE21" i="8" a="1"/>
  <c r="AE21" i="8" s="1"/>
  <c r="W21" i="8" a="1"/>
  <c r="W21" i="8" s="1"/>
  <c r="P21" i="8" a="1"/>
  <c r="P21" i="8" s="1"/>
  <c r="BJ18" i="7"/>
  <c r="BB18" i="7"/>
  <c r="AT18" i="7"/>
  <c r="AL18" i="7"/>
  <c r="AD18" i="7"/>
  <c r="V18" i="7"/>
  <c r="N18" i="7"/>
  <c r="BK17" i="7"/>
  <c r="BC17" i="7"/>
  <c r="AM17" i="7"/>
  <c r="AF17" i="7"/>
  <c r="X17" i="7"/>
  <c r="P17" i="7"/>
  <c r="BP16" i="7"/>
  <c r="BH16" i="7"/>
  <c r="BA16" i="7"/>
  <c r="AS16" i="7"/>
  <c r="AK16" i="7"/>
  <c r="AD16" i="7"/>
  <c r="O16" i="7"/>
  <c r="BO15" i="7"/>
  <c r="AY15" i="7"/>
  <c r="AR15" i="7"/>
  <c r="AJ15" i="7"/>
  <c r="AB15" i="7"/>
  <c r="T15" i="7"/>
  <c r="AK25" i="8" a="1"/>
  <c r="AK25" i="8" s="1"/>
  <c r="BC23" i="8" a="1"/>
  <c r="BC23" i="8" s="1"/>
  <c r="BM22" i="8" a="1"/>
  <c r="BM22" i="8" s="1"/>
  <c r="AR22" i="8" a="1"/>
  <c r="AR22" i="8" s="1"/>
  <c r="BI21" i="8" a="1"/>
  <c r="BI21" i="8" s="1"/>
  <c r="AL21" i="8" a="1"/>
  <c r="AL21" i="8" s="1"/>
  <c r="AS18" i="7"/>
  <c r="BJ17" i="7"/>
  <c r="O17" i="7"/>
  <c r="AJ16" i="7"/>
  <c r="BF15" i="7"/>
  <c r="S15" i="7"/>
  <c r="AV31" i="9"/>
  <c r="AV38" i="9" s="1"/>
  <c r="BA10" i="4"/>
  <c r="AU31" i="9"/>
  <c r="AU38" i="9" s="1"/>
  <c r="AZ10" i="4"/>
  <c r="BK31" i="9"/>
  <c r="BK38" i="9" s="1"/>
  <c r="BP10" i="4"/>
  <c r="AM31" i="9"/>
  <c r="AM38" i="9" s="1"/>
  <c r="AR10" i="4"/>
  <c r="BR31" i="9"/>
  <c r="BR38" i="9" s="1"/>
  <c r="BW10" i="4"/>
  <c r="AP31" i="9"/>
  <c r="AP38" i="9" s="1"/>
  <c r="AU10" i="4"/>
  <c r="V31" i="9"/>
  <c r="V38" i="9" s="1"/>
  <c r="AA10" i="4"/>
  <c r="AC31" i="9"/>
  <c r="AC38" i="9" s="1"/>
  <c r="AH10" i="4"/>
  <c r="BP31" i="9"/>
  <c r="BP38" i="9" s="1"/>
  <c r="BU10" i="4"/>
  <c r="AN31" i="9"/>
  <c r="AN38" i="9" s="1"/>
  <c r="AS10" i="4"/>
  <c r="AU22" i="9"/>
  <c r="AH31" i="9"/>
  <c r="AH38" i="9" s="1"/>
  <c r="AM10" i="4"/>
  <c r="AQ31" i="9"/>
  <c r="AQ38" i="9" s="1"/>
  <c r="AV10" i="4"/>
  <c r="AG31" i="9"/>
  <c r="AG38" i="9" s="1"/>
  <c r="AL10" i="4"/>
  <c r="K38" i="9"/>
  <c r="P10" i="4"/>
  <c r="AE31" i="9"/>
  <c r="AE38" i="9" s="1"/>
  <c r="AJ10" i="4"/>
  <c r="T31" i="9"/>
  <c r="T38" i="9" s="1"/>
  <c r="Y10" i="4"/>
  <c r="BI31" i="9"/>
  <c r="BI38" i="9" s="1"/>
  <c r="BN10" i="4"/>
  <c r="BH31" i="9"/>
  <c r="BH38" i="9" s="1"/>
  <c r="BM10" i="4"/>
  <c r="BO31" i="9"/>
  <c r="BO38" i="9" s="1"/>
  <c r="BT10" i="4"/>
  <c r="Y31" i="9"/>
  <c r="Y38" i="9" s="1"/>
  <c r="AD10" i="4"/>
  <c r="BL31" i="9"/>
  <c r="BL38" i="9" s="1"/>
  <c r="BQ10" i="4"/>
  <c r="X31" i="9"/>
  <c r="X38" i="9" s="1"/>
  <c r="AC10" i="4"/>
  <c r="U31" i="9"/>
  <c r="U38" i="9" s="1"/>
  <c r="Z10" i="4"/>
  <c r="W31" i="9"/>
  <c r="W38" i="9" s="1"/>
  <c r="AB10" i="4"/>
  <c r="E11" i="6"/>
  <c r="P31" i="9"/>
  <c r="P38" i="9" s="1"/>
  <c r="U10" i="4"/>
  <c r="AK31" i="9"/>
  <c r="AK38" i="9" s="1"/>
  <c r="AP10" i="4"/>
  <c r="W22" i="9"/>
  <c r="F22" i="9" s="1"/>
  <c r="G12" i="1"/>
  <c r="BJ31" i="9"/>
  <c r="BJ38" i="9" s="1"/>
  <c r="BO10" i="4"/>
  <c r="AY31" i="9"/>
  <c r="AY38" i="9" s="1"/>
  <c r="BD10" i="4"/>
  <c r="L31" i="9"/>
  <c r="L38" i="9" s="1"/>
  <c r="Q10" i="4"/>
  <c r="BA31" i="9"/>
  <c r="BA38" i="9" s="1"/>
  <c r="BF10" i="4"/>
  <c r="BF31" i="9"/>
  <c r="BF38" i="9" s="1"/>
  <c r="BK10" i="4"/>
  <c r="AB31" i="9"/>
  <c r="AB38" i="9" s="1"/>
  <c r="AG10" i="4"/>
  <c r="M31" i="9"/>
  <c r="M38" i="9" s="1"/>
  <c r="R10" i="4"/>
  <c r="BC31" i="9"/>
  <c r="BC38" i="9" s="1"/>
  <c r="BH10" i="4"/>
  <c r="AA31" i="9"/>
  <c r="AA38" i="9" s="1"/>
  <c r="AF10" i="4"/>
  <c r="AJ31" i="9"/>
  <c r="AJ38" i="9" s="1"/>
  <c r="AO10" i="4"/>
  <c r="BQ31" i="9"/>
  <c r="BQ38" i="9" s="1"/>
  <c r="BV10" i="4"/>
  <c r="AL31" i="9"/>
  <c r="AL38" i="9" s="1"/>
  <c r="AQ10" i="4"/>
  <c r="AF31" i="9"/>
  <c r="AF38" i="9" s="1"/>
  <c r="AK10" i="4"/>
  <c r="AT31" i="9"/>
  <c r="AT38" i="9" s="1"/>
  <c r="AY10" i="4"/>
  <c r="AS31" i="9"/>
  <c r="AS38" i="9" s="1"/>
  <c r="AX10" i="4"/>
  <c r="N31" i="9"/>
  <c r="N38" i="9" s="1"/>
  <c r="S10" i="4"/>
  <c r="Q31" i="9"/>
  <c r="Q38" i="9" s="1"/>
  <c r="V10" i="4"/>
  <c r="S22" i="9"/>
  <c r="Z31" i="9"/>
  <c r="Z38" i="9" s="1"/>
  <c r="AE10" i="4"/>
  <c r="AI31" i="9"/>
  <c r="AI38" i="9" s="1"/>
  <c r="AN10" i="4"/>
  <c r="O31" i="9"/>
  <c r="O38" i="9" s="1"/>
  <c r="T10" i="4"/>
  <c r="BN31" i="9"/>
  <c r="BN38" i="9" s="1"/>
  <c r="BS10" i="4"/>
  <c r="R31" i="9"/>
  <c r="R38" i="9" s="1"/>
  <c r="W10" i="4"/>
  <c r="BM31" i="9"/>
  <c r="BM38" i="9" s="1"/>
  <c r="BR10" i="4"/>
  <c r="BG31" i="9"/>
  <c r="BG38" i="9" s="1"/>
  <c r="BL10" i="4"/>
  <c r="AZ31" i="9"/>
  <c r="AZ38" i="9" s="1"/>
  <c r="BE10" i="4"/>
  <c r="AO31" i="9"/>
  <c r="AO38" i="9" s="1"/>
  <c r="AT10" i="4"/>
  <c r="AW31" i="9"/>
  <c r="AW38" i="9" s="1"/>
  <c r="BB10" i="4"/>
  <c r="AD31" i="9"/>
  <c r="AD38" i="9" s="1"/>
  <c r="AI10" i="4"/>
  <c r="BE31" i="9"/>
  <c r="BE38" i="9" s="1"/>
  <c r="BJ10" i="4"/>
  <c r="BD31" i="9"/>
  <c r="BD38" i="9" s="1"/>
  <c r="BI10" i="4"/>
  <c r="AX31" i="9"/>
  <c r="AX38" i="9" s="1"/>
  <c r="BC10" i="4"/>
  <c r="BB31" i="9"/>
  <c r="BB38" i="9" s="1"/>
  <c r="BG10" i="4"/>
  <c r="AR31" i="9"/>
  <c r="AR38" i="9" s="1"/>
  <c r="AW10" i="4"/>
  <c r="M24" i="6"/>
  <c r="Q14" i="4"/>
  <c r="BF21" i="9"/>
  <c r="AY21" i="9"/>
  <c r="AZ21" i="9"/>
  <c r="BA21" i="9"/>
  <c r="AH21" i="9"/>
  <c r="AB21" i="9"/>
  <c r="AC21" i="9"/>
  <c r="AA21" i="9"/>
  <c r="BN21" i="9"/>
  <c r="BQ21" i="9"/>
  <c r="BI21" i="9"/>
  <c r="BP21" i="9"/>
  <c r="BO21" i="9"/>
  <c r="BH21" i="9"/>
  <c r="F11" i="8"/>
  <c r="AP21" i="9"/>
  <c r="AQ21" i="9"/>
  <c r="AS21" i="9"/>
  <c r="AR21" i="9"/>
  <c r="AK21" i="9"/>
  <c r="AJ21" i="9"/>
  <c r="R21" i="9"/>
  <c r="T21" i="9"/>
  <c r="U21" i="9"/>
  <c r="S21" i="9"/>
  <c r="M21" i="9"/>
  <c r="L21" i="9"/>
  <c r="G11" i="8"/>
  <c r="I11" i="8"/>
  <c r="H11" i="8"/>
  <c r="L17" i="9" l="1"/>
  <c r="M18" i="9"/>
  <c r="L18" i="9"/>
  <c r="M25" i="9"/>
  <c r="S24" i="9"/>
  <c r="T22" i="6"/>
  <c r="E38" i="9"/>
  <c r="H38" i="9"/>
  <c r="F38" i="9"/>
  <c r="G38" i="9"/>
  <c r="I38" i="9"/>
  <c r="V16" i="6"/>
  <c r="E16" i="6" s="1"/>
  <c r="AD10" i="9"/>
  <c r="AG10" i="9"/>
  <c r="AC10" i="9"/>
  <c r="K10" i="9"/>
  <c r="E10" i="9" s="1"/>
  <c r="AH10" i="9"/>
  <c r="AB10" i="9"/>
  <c r="Y10" i="9"/>
  <c r="AF10" i="9"/>
  <c r="AA10" i="9"/>
  <c r="X10" i="9"/>
  <c r="AE10" i="9"/>
  <c r="Z10" i="9"/>
  <c r="W10" i="9"/>
  <c r="E11" i="8"/>
  <c r="AG7" i="10" s="1"/>
  <c r="X10" i="4"/>
  <c r="E10" i="4" s="1"/>
  <c r="BF16" i="6"/>
  <c r="H16" i="6" s="1"/>
  <c r="P26" i="6"/>
  <c r="AT16" i="6"/>
  <c r="G16" i="6" s="1"/>
  <c r="G9" i="1"/>
  <c r="BR16" i="6"/>
  <c r="I16" i="6" s="1"/>
  <c r="AH16" i="6"/>
  <c r="F16" i="6" s="1"/>
  <c r="E9" i="1"/>
  <c r="S12" i="1"/>
  <c r="I22" i="9"/>
  <c r="O12" i="1"/>
  <c r="H22" i="9"/>
  <c r="E22" i="9"/>
  <c r="K12" i="1"/>
  <c r="G22" i="9"/>
  <c r="AU27" i="8"/>
  <c r="AU17" i="6" s="1"/>
  <c r="BB27" i="8"/>
  <c r="BB17" i="6" s="1"/>
  <c r="AW27" i="8"/>
  <c r="AW17" i="6" s="1"/>
  <c r="AX27" i="8"/>
  <c r="AX17" i="6" s="1"/>
  <c r="BG27" i="8"/>
  <c r="BG17" i="6" s="1"/>
  <c r="AO27" i="8"/>
  <c r="AO17" i="6" s="1"/>
  <c r="BI27" i="8"/>
  <c r="BI17" i="6" s="1"/>
  <c r="AM27" i="8"/>
  <c r="AM17" i="6" s="1"/>
  <c r="BC27" i="8"/>
  <c r="BC17" i="6" s="1"/>
  <c r="AV27" i="8"/>
  <c r="AV17" i="6" s="1"/>
  <c r="L27" i="8"/>
  <c r="L17" i="6" s="1"/>
  <c r="U27" i="8"/>
  <c r="U17" i="6" s="1"/>
  <c r="BJ27" i="8"/>
  <c r="BJ17" i="6" s="1"/>
  <c r="BL27" i="8"/>
  <c r="BL17" i="6" s="1"/>
  <c r="T14" i="7"/>
  <c r="T19" i="7" s="1"/>
  <c r="T19" i="8"/>
  <c r="AU17" i="7"/>
  <c r="H17" i="7" s="1"/>
  <c r="H16" i="8"/>
  <c r="AO14" i="7"/>
  <c r="AO19" i="7" s="1"/>
  <c r="AO19" i="8"/>
  <c r="W16" i="7"/>
  <c r="F16" i="7" s="1"/>
  <c r="F15" i="8"/>
  <c r="S14" i="7"/>
  <c r="S19" i="7" s="1"/>
  <c r="S19" i="8"/>
  <c r="G21" i="8"/>
  <c r="AT27" i="8"/>
  <c r="AA19" i="8"/>
  <c r="AA14" i="7"/>
  <c r="AA19" i="7" s="1"/>
  <c r="AI14" i="7"/>
  <c r="AI19" i="8"/>
  <c r="G13" i="8"/>
  <c r="BR14" i="7"/>
  <c r="BR19" i="7" s="1"/>
  <c r="BR19" i="8"/>
  <c r="AG14" i="7"/>
  <c r="AG19" i="7" s="1"/>
  <c r="AG19" i="8"/>
  <c r="AI15" i="7"/>
  <c r="G15" i="7" s="1"/>
  <c r="G14" i="8"/>
  <c r="BI14" i="7"/>
  <c r="BI19" i="7" s="1"/>
  <c r="BI19" i="8"/>
  <c r="W17" i="7"/>
  <c r="F17" i="7" s="1"/>
  <c r="F16" i="8"/>
  <c r="AC27" i="8"/>
  <c r="AC17" i="6" s="1"/>
  <c r="H18" i="8"/>
  <c r="AU18" i="7"/>
  <c r="BQ27" i="8"/>
  <c r="BQ17" i="6" s="1"/>
  <c r="V27" i="8"/>
  <c r="E21" i="8"/>
  <c r="Z14" i="7"/>
  <c r="Z19" i="7" s="1"/>
  <c r="Z19" i="8"/>
  <c r="BD27" i="8"/>
  <c r="BD17" i="6" s="1"/>
  <c r="BG17" i="7"/>
  <c r="I17" i="7" s="1"/>
  <c r="I16" i="8"/>
  <c r="AB27" i="8"/>
  <c r="AB17" i="6" s="1"/>
  <c r="BL14" i="7"/>
  <c r="BL19" i="7" s="1"/>
  <c r="BL19" i="8"/>
  <c r="AL27" i="8"/>
  <c r="AL17" i="6" s="1"/>
  <c r="I21" i="8"/>
  <c r="BR27" i="8"/>
  <c r="AY14" i="7"/>
  <c r="AY19" i="7" s="1"/>
  <c r="AY19" i="8"/>
  <c r="Q14" i="7"/>
  <c r="Q19" i="7" s="1"/>
  <c r="Q19" i="8"/>
  <c r="BM14" i="7"/>
  <c r="BM19" i="7" s="1"/>
  <c r="BM19" i="8"/>
  <c r="Y14" i="7"/>
  <c r="Y19" i="7" s="1"/>
  <c r="Y19" i="8"/>
  <c r="BA14" i="7"/>
  <c r="BA19" i="7" s="1"/>
  <c r="BA19" i="8"/>
  <c r="AQ14" i="7"/>
  <c r="AQ19" i="7" s="1"/>
  <c r="AQ19" i="8"/>
  <c r="AJ14" i="7"/>
  <c r="AJ19" i="7" s="1"/>
  <c r="AJ19" i="8"/>
  <c r="K17" i="7"/>
  <c r="E17" i="7" s="1"/>
  <c r="E16" i="8"/>
  <c r="S27" i="8"/>
  <c r="S17" i="6" s="1"/>
  <c r="O14" i="7"/>
  <c r="O19" i="7" s="1"/>
  <c r="O19" i="8"/>
  <c r="AH14" i="7"/>
  <c r="AH19" i="7" s="1"/>
  <c r="AH19" i="8"/>
  <c r="AP14" i="7"/>
  <c r="AP19" i="7" s="1"/>
  <c r="AP19" i="8"/>
  <c r="BG15" i="7"/>
  <c r="I15" i="7" s="1"/>
  <c r="I14" i="8"/>
  <c r="P27" i="8"/>
  <c r="P17" i="6" s="1"/>
  <c r="R14" i="7"/>
  <c r="R19" i="7" s="1"/>
  <c r="R19" i="8"/>
  <c r="BE14" i="7"/>
  <c r="BE19" i="7" s="1"/>
  <c r="BE19" i="8"/>
  <c r="BE27" i="8"/>
  <c r="BE17" i="6" s="1"/>
  <c r="AL14" i="7"/>
  <c r="AL19" i="7" s="1"/>
  <c r="AL19" i="8"/>
  <c r="BN27" i="8"/>
  <c r="BN17" i="6" s="1"/>
  <c r="BD14" i="7"/>
  <c r="BD19" i="7" s="1"/>
  <c r="BD19" i="8"/>
  <c r="AT14" i="7"/>
  <c r="AT19" i="7" s="1"/>
  <c r="AT19" i="8"/>
  <c r="AX14" i="7"/>
  <c r="AX19" i="7" s="1"/>
  <c r="AX19" i="8"/>
  <c r="W27" i="8"/>
  <c r="W17" i="6" s="1"/>
  <c r="W18" i="6" s="1"/>
  <c r="BN14" i="7"/>
  <c r="BN19" i="7" s="1"/>
  <c r="BN19" i="8"/>
  <c r="BK27" i="8"/>
  <c r="BK17" i="6" s="1"/>
  <c r="AB14" i="7"/>
  <c r="AB19" i="7" s="1"/>
  <c r="AB19" i="8"/>
  <c r="AU16" i="7"/>
  <c r="H16" i="7" s="1"/>
  <c r="H15" i="8"/>
  <c r="K27" i="8"/>
  <c r="K17" i="6" s="1"/>
  <c r="AZ14" i="7"/>
  <c r="AZ19" i="7" s="1"/>
  <c r="AZ19" i="8"/>
  <c r="BP14" i="7"/>
  <c r="BP19" i="7" s="1"/>
  <c r="BP19" i="8"/>
  <c r="Z27" i="8"/>
  <c r="Z17" i="6" s="1"/>
  <c r="BB14" i="7"/>
  <c r="BB19" i="7" s="1"/>
  <c r="BB19" i="8"/>
  <c r="M27" i="8"/>
  <c r="M17" i="6" s="1"/>
  <c r="W14" i="7"/>
  <c r="W19" i="8"/>
  <c r="F13" i="8"/>
  <c r="AI18" i="7"/>
  <c r="G18" i="7" s="1"/>
  <c r="G18" i="8"/>
  <c r="AJ27" i="8"/>
  <c r="AJ17" i="6" s="1"/>
  <c r="E14" i="8"/>
  <c r="K15" i="7"/>
  <c r="E15" i="7" s="1"/>
  <c r="AK27" i="8"/>
  <c r="AK17" i="6" s="1"/>
  <c r="BG14" i="7"/>
  <c r="BG19" i="8"/>
  <c r="I13" i="8"/>
  <c r="BG16" i="7"/>
  <c r="I16" i="7" s="1"/>
  <c r="I15" i="8"/>
  <c r="AR14" i="7"/>
  <c r="AR19" i="7" s="1"/>
  <c r="AR19" i="8"/>
  <c r="R27" i="8"/>
  <c r="R17" i="6" s="1"/>
  <c r="M14" i="7"/>
  <c r="M19" i="7" s="1"/>
  <c r="M19" i="8"/>
  <c r="F21" i="8"/>
  <c r="AH27" i="8"/>
  <c r="BJ14" i="7"/>
  <c r="BJ19" i="7" s="1"/>
  <c r="BJ19" i="8"/>
  <c r="K16" i="7"/>
  <c r="E16" i="7" s="1"/>
  <c r="E15" i="8"/>
  <c r="T27" i="8"/>
  <c r="T17" i="6" s="1"/>
  <c r="AE14" i="7"/>
  <c r="AE19" i="7" s="1"/>
  <c r="AE19" i="8"/>
  <c r="AR27" i="8"/>
  <c r="AR17" i="6" s="1"/>
  <c r="P14" i="7"/>
  <c r="P19" i="7" s="1"/>
  <c r="P19" i="8"/>
  <c r="AS27" i="8"/>
  <c r="AS17" i="6" s="1"/>
  <c r="Q27" i="8"/>
  <c r="Q17" i="6" s="1"/>
  <c r="BH14" i="7"/>
  <c r="BH19" i="7" s="1"/>
  <c r="BH19" i="8"/>
  <c r="Y27" i="8"/>
  <c r="Y17" i="6" s="1"/>
  <c r="U14" i="7"/>
  <c r="U19" i="7" s="1"/>
  <c r="U19" i="8"/>
  <c r="W15" i="7"/>
  <c r="F15" i="7" s="1"/>
  <c r="F14" i="8"/>
  <c r="AI17" i="7"/>
  <c r="G17" i="7" s="1"/>
  <c r="G16" i="8"/>
  <c r="AP27" i="8"/>
  <c r="AP17" i="6" s="1"/>
  <c r="L14" i="7"/>
  <c r="L19" i="7" s="1"/>
  <c r="L19" i="8"/>
  <c r="BQ14" i="7"/>
  <c r="BQ19" i="7" s="1"/>
  <c r="BQ19" i="8"/>
  <c r="AA27" i="8"/>
  <c r="AA17" i="6" s="1"/>
  <c r="AM14" i="7"/>
  <c r="AM19" i="7" s="1"/>
  <c r="AM19" i="8"/>
  <c r="AZ27" i="8"/>
  <c r="AZ17" i="6" s="1"/>
  <c r="X14" i="7"/>
  <c r="X19" i="7" s="1"/>
  <c r="X19" i="8"/>
  <c r="AI16" i="7"/>
  <c r="G16" i="7" s="1"/>
  <c r="G15" i="8"/>
  <c r="BA27" i="8"/>
  <c r="BA17" i="6" s="1"/>
  <c r="BF14" i="7"/>
  <c r="BF19" i="7" s="1"/>
  <c r="BF19" i="8"/>
  <c r="AE27" i="8"/>
  <c r="AE17" i="6" s="1"/>
  <c r="K14" i="7"/>
  <c r="K19" i="8"/>
  <c r="E13" i="8"/>
  <c r="W18" i="7"/>
  <c r="F18" i="7" s="1"/>
  <c r="F18" i="8"/>
  <c r="X27" i="8"/>
  <c r="X17" i="6" s="1"/>
  <c r="X18" i="6" s="1"/>
  <c r="BO19" i="8"/>
  <c r="BO14" i="7"/>
  <c r="BO19" i="7" s="1"/>
  <c r="AG27" i="8"/>
  <c r="AG17" i="6" s="1"/>
  <c r="AC14" i="7"/>
  <c r="AC19" i="7" s="1"/>
  <c r="AC19" i="8"/>
  <c r="N14" i="7"/>
  <c r="N19" i="7" s="1"/>
  <c r="N19" i="8"/>
  <c r="AI27" i="8"/>
  <c r="AI17" i="6" s="1"/>
  <c r="AU14" i="7"/>
  <c r="H13" i="8"/>
  <c r="AU19" i="8"/>
  <c r="BG18" i="7"/>
  <c r="I18" i="7" s="1"/>
  <c r="I18" i="8"/>
  <c r="AF14" i="7"/>
  <c r="AF19" i="7" s="1"/>
  <c r="AF19" i="8"/>
  <c r="BH27" i="8"/>
  <c r="BH17" i="6" s="1"/>
  <c r="AF27" i="8"/>
  <c r="AF17" i="6" s="1"/>
  <c r="AK14" i="7"/>
  <c r="AK19" i="7" s="1"/>
  <c r="AK19" i="8"/>
  <c r="H21" i="8"/>
  <c r="BF27" i="8"/>
  <c r="V14" i="7"/>
  <c r="V19" i="7" s="1"/>
  <c r="V19" i="8"/>
  <c r="AQ27" i="8"/>
  <c r="AQ17" i="6" s="1"/>
  <c r="AD27" i="8"/>
  <c r="AD17" i="6" s="1"/>
  <c r="BC14" i="7"/>
  <c r="BC19" i="7" s="1"/>
  <c r="BC19" i="8"/>
  <c r="BO27" i="8"/>
  <c r="BO17" i="6" s="1"/>
  <c r="AN14" i="7"/>
  <c r="AN19" i="7" s="1"/>
  <c r="AN19" i="8"/>
  <c r="BP27" i="8"/>
  <c r="BP17" i="6" s="1"/>
  <c r="AN27" i="8"/>
  <c r="AN17" i="6" s="1"/>
  <c r="AW14" i="7"/>
  <c r="AW19" i="7" s="1"/>
  <c r="AW19" i="8"/>
  <c r="O27" i="8"/>
  <c r="O17" i="6" s="1"/>
  <c r="AS14" i="7"/>
  <c r="AS19" i="7" s="1"/>
  <c r="AS19" i="8"/>
  <c r="AU15" i="7"/>
  <c r="H15" i="7" s="1"/>
  <c r="H14" i="8"/>
  <c r="BM27" i="8"/>
  <c r="BM17" i="6" s="1"/>
  <c r="AD14" i="7"/>
  <c r="AD19" i="7" s="1"/>
  <c r="AD19" i="8"/>
  <c r="AY27" i="8"/>
  <c r="AY17" i="6" s="1"/>
  <c r="BK14" i="7"/>
  <c r="BK19" i="7" s="1"/>
  <c r="BK19" i="8"/>
  <c r="K18" i="7"/>
  <c r="E18" i="7" s="1"/>
  <c r="E18" i="8"/>
  <c r="N27" i="8"/>
  <c r="N17" i="6" s="1"/>
  <c r="AV14" i="7"/>
  <c r="AV19" i="7" s="1"/>
  <c r="AV19" i="8"/>
  <c r="G10" i="4"/>
  <c r="G31" i="9"/>
  <c r="O11" i="1"/>
  <c r="F31" i="9"/>
  <c r="H21" i="9"/>
  <c r="AI7" i="10"/>
  <c r="K6" i="1"/>
  <c r="BG21" i="9"/>
  <c r="I21" i="9" s="1"/>
  <c r="S11" i="1"/>
  <c r="M10" i="4"/>
  <c r="AJ7" i="10"/>
  <c r="O6" i="1"/>
  <c r="I31" i="9"/>
  <c r="K10" i="4"/>
  <c r="AH7" i="10"/>
  <c r="G6" i="1"/>
  <c r="I10" i="4"/>
  <c r="G11" i="1"/>
  <c r="H31" i="9"/>
  <c r="K21" i="9"/>
  <c r="E21" i="9" s="1"/>
  <c r="E11" i="1"/>
  <c r="E12" i="1"/>
  <c r="H12" i="1" s="1"/>
  <c r="F21" i="9"/>
  <c r="S6" i="1"/>
  <c r="AK7" i="10"/>
  <c r="AI21" i="9"/>
  <c r="G21" i="9" s="1"/>
  <c r="K11" i="1"/>
  <c r="E31" i="9"/>
  <c r="N24" i="6"/>
  <c r="N25" i="9" s="1"/>
  <c r="R14" i="4"/>
  <c r="F10" i="9" l="1"/>
  <c r="L19" i="9"/>
  <c r="K21" i="1"/>
  <c r="AI21" i="10"/>
  <c r="G21" i="1"/>
  <c r="AH21" i="10"/>
  <c r="S21" i="1"/>
  <c r="AK21" i="10"/>
  <c r="O21" i="1"/>
  <c r="AJ21" i="10"/>
  <c r="E21" i="1"/>
  <c r="AG21" i="10"/>
  <c r="U22" i="6"/>
  <c r="T24" i="9"/>
  <c r="E6" i="1"/>
  <c r="I6" i="1" s="1"/>
  <c r="Q26" i="6"/>
  <c r="U12" i="1"/>
  <c r="AI10" i="9"/>
  <c r="Q12" i="1"/>
  <c r="T12" i="1"/>
  <c r="M12" i="1"/>
  <c r="P12" i="1"/>
  <c r="L12" i="1"/>
  <c r="T11" i="1"/>
  <c r="I12" i="1"/>
  <c r="Y18" i="6"/>
  <c r="AP18" i="6"/>
  <c r="AA18" i="6"/>
  <c r="AZ18" i="6"/>
  <c r="BH18" i="6"/>
  <c r="AW18" i="6"/>
  <c r="AQ18" i="6"/>
  <c r="AE18" i="6"/>
  <c r="AR18" i="6"/>
  <c r="BQ18" i="6"/>
  <c r="BJ18" i="6"/>
  <c r="AC18" i="6"/>
  <c r="P18" i="6"/>
  <c r="BE18" i="6"/>
  <c r="R18" i="6"/>
  <c r="AV18" i="6"/>
  <c r="U18" i="6"/>
  <c r="V9" i="4"/>
  <c r="L18" i="6"/>
  <c r="BN9" i="4"/>
  <c r="G19" i="8"/>
  <c r="Q18" i="6"/>
  <c r="H27" i="8"/>
  <c r="BF17" i="6"/>
  <c r="AH9" i="4"/>
  <c r="E19" i="8"/>
  <c r="BV9" i="4"/>
  <c r="F27" i="8"/>
  <c r="AH17" i="6"/>
  <c r="BF9" i="4"/>
  <c r="AU19" i="7"/>
  <c r="H18" i="7"/>
  <c r="G14" i="7"/>
  <c r="AI19" i="7"/>
  <c r="BP9" i="4"/>
  <c r="AX9" i="4"/>
  <c r="AS9" i="4"/>
  <c r="BJ9" i="4"/>
  <c r="BD9" i="4"/>
  <c r="AF9" i="4"/>
  <c r="X9" i="4"/>
  <c r="BA9" i="4"/>
  <c r="AI9" i="4"/>
  <c r="BB9" i="4"/>
  <c r="BH9" i="4"/>
  <c r="BT9" i="4"/>
  <c r="Q9" i="4"/>
  <c r="AJ9" i="4"/>
  <c r="I19" i="8"/>
  <c r="BU9" i="4"/>
  <c r="AU9" i="4"/>
  <c r="AD9" i="4"/>
  <c r="I27" i="8"/>
  <c r="BR17" i="6"/>
  <c r="Y9" i="4"/>
  <c r="U9" i="4"/>
  <c r="BO9" i="4"/>
  <c r="BG9" i="4"/>
  <c r="BC9" i="4"/>
  <c r="Z9" i="4"/>
  <c r="AG9" i="4"/>
  <c r="AY9" i="4"/>
  <c r="AP9" i="4"/>
  <c r="H14" i="7"/>
  <c r="R9" i="4"/>
  <c r="I14" i="7"/>
  <c r="BG19" i="7"/>
  <c r="F19" i="8"/>
  <c r="BI9" i="4"/>
  <c r="W9" i="4"/>
  <c r="AO9" i="4"/>
  <c r="AL9" i="4"/>
  <c r="AA9" i="4"/>
  <c r="BK9" i="4"/>
  <c r="BM9" i="4"/>
  <c r="W19" i="7"/>
  <c r="F14" i="7"/>
  <c r="BE9" i="4"/>
  <c r="BS9" i="4"/>
  <c r="AM9" i="4"/>
  <c r="BR9" i="4"/>
  <c r="AE9" i="4"/>
  <c r="G27" i="8"/>
  <c r="AT17" i="6"/>
  <c r="H19" i="8"/>
  <c r="K19" i="7"/>
  <c r="E14" i="7"/>
  <c r="AC9" i="4"/>
  <c r="AR9" i="4"/>
  <c r="AV9" i="4"/>
  <c r="BW9" i="4"/>
  <c r="AT9" i="4"/>
  <c r="AK9" i="4"/>
  <c r="S9" i="4"/>
  <c r="AW9" i="4"/>
  <c r="AQ9" i="4"/>
  <c r="T9" i="4"/>
  <c r="BD18" i="6"/>
  <c r="BQ9" i="4"/>
  <c r="V17" i="6"/>
  <c r="E27" i="8"/>
  <c r="H11" i="1"/>
  <c r="I11" i="1"/>
  <c r="L11" i="1"/>
  <c r="M11" i="1"/>
  <c r="Q6" i="1"/>
  <c r="P6" i="1"/>
  <c r="U11" i="1"/>
  <c r="Q11" i="1"/>
  <c r="P11" i="1"/>
  <c r="T6" i="1"/>
  <c r="U6" i="1"/>
  <c r="M6" i="1"/>
  <c r="L6" i="1"/>
  <c r="S14" i="4"/>
  <c r="O24" i="6"/>
  <c r="O25" i="9" s="1"/>
  <c r="N16" i="9"/>
  <c r="M16" i="9"/>
  <c r="V22" i="6" l="1"/>
  <c r="E22" i="6" s="1"/>
  <c r="U24" i="9"/>
  <c r="L21" i="1"/>
  <c r="P21" i="1"/>
  <c r="H6" i="1"/>
  <c r="AJ10" i="9"/>
  <c r="BK18" i="6"/>
  <c r="R26" i="6"/>
  <c r="I21" i="1"/>
  <c r="M21" i="1"/>
  <c r="H21" i="1"/>
  <c r="T18" i="6"/>
  <c r="AD18" i="6"/>
  <c r="AB18" i="6"/>
  <c r="Z18" i="6"/>
  <c r="BP18" i="6"/>
  <c r="AK18" i="6"/>
  <c r="AF18" i="6"/>
  <c r="BA18" i="6"/>
  <c r="AS18" i="6"/>
  <c r="BB18" i="6"/>
  <c r="AN18" i="6"/>
  <c r="BI18" i="6"/>
  <c r="AG18" i="6"/>
  <c r="AY18" i="6"/>
  <c r="BO18" i="6"/>
  <c r="AO18" i="6"/>
  <c r="BL18" i="6"/>
  <c r="N18" i="6"/>
  <c r="O18" i="6"/>
  <c r="AX18" i="6"/>
  <c r="AM18" i="6"/>
  <c r="AL18" i="6"/>
  <c r="S18" i="6"/>
  <c r="M18" i="6"/>
  <c r="BM18" i="6"/>
  <c r="AB9" i="4"/>
  <c r="G9" i="4" s="1"/>
  <c r="F19" i="7"/>
  <c r="F17" i="6"/>
  <c r="AH18" i="6"/>
  <c r="F18" i="6" s="1"/>
  <c r="E7" i="1"/>
  <c r="AG8" i="10"/>
  <c r="G17" i="6"/>
  <c r="AT18" i="6"/>
  <c r="G18" i="6" s="1"/>
  <c r="BC18" i="6"/>
  <c r="BN18" i="6"/>
  <c r="G7" i="1"/>
  <c r="AH8" i="10"/>
  <c r="H19" i="7"/>
  <c r="AZ9" i="4"/>
  <c r="K9" i="4" s="1"/>
  <c r="G19" i="7"/>
  <c r="AN9" i="4"/>
  <c r="I9" i="4" s="1"/>
  <c r="I19" i="7"/>
  <c r="BL9" i="4"/>
  <c r="M9" i="4" s="1"/>
  <c r="H17" i="6"/>
  <c r="K7" i="1"/>
  <c r="AI8" i="10"/>
  <c r="E17" i="6"/>
  <c r="BG18" i="6"/>
  <c r="AJ8" i="10"/>
  <c r="O7" i="1"/>
  <c r="I17" i="6"/>
  <c r="AK8" i="10"/>
  <c r="S7" i="1"/>
  <c r="E19" i="7"/>
  <c r="P9" i="4"/>
  <c r="E9" i="4" s="1"/>
  <c r="AJ18" i="6"/>
  <c r="Q21" i="1"/>
  <c r="T21" i="1"/>
  <c r="U21" i="1"/>
  <c r="P24" i="6"/>
  <c r="P25" i="9" s="1"/>
  <c r="T14" i="4"/>
  <c r="O16" i="9"/>
  <c r="K8" i="7"/>
  <c r="V24" i="9" l="1"/>
  <c r="W22" i="6"/>
  <c r="AK10" i="9"/>
  <c r="V18" i="6"/>
  <c r="E18" i="6" s="1"/>
  <c r="BF18" i="6"/>
  <c r="H18" i="6" s="1"/>
  <c r="S26" i="6"/>
  <c r="BR18" i="6"/>
  <c r="I18" i="6" s="1"/>
  <c r="K18" i="6"/>
  <c r="AU18" i="6"/>
  <c r="T7" i="1"/>
  <c r="U7" i="1"/>
  <c r="L7" i="1"/>
  <c r="M7" i="1"/>
  <c r="H7" i="1"/>
  <c r="I7" i="1"/>
  <c r="P7" i="1"/>
  <c r="Q7" i="1"/>
  <c r="AI18" i="6"/>
  <c r="Q24" i="6"/>
  <c r="Q25" i="9" s="1"/>
  <c r="U14" i="4"/>
  <c r="L8" i="7"/>
  <c r="K12" i="7" a="1"/>
  <c r="K12" i="7" s="1"/>
  <c r="K9" i="7"/>
  <c r="K21" i="6" l="1"/>
  <c r="K30" i="9" s="1"/>
  <c r="W24" i="9"/>
  <c r="X22" i="6"/>
  <c r="T26" i="6"/>
  <c r="AL10" i="9"/>
  <c r="P16" i="9"/>
  <c r="L12" i="7"/>
  <c r="R24" i="6"/>
  <c r="R25" i="9" s="1"/>
  <c r="V14" i="4"/>
  <c r="Q16" i="9"/>
  <c r="M12" i="9"/>
  <c r="L11" i="9"/>
  <c r="M8" i="7"/>
  <c r="K13" i="7"/>
  <c r="L9" i="7"/>
  <c r="L21" i="6" l="1"/>
  <c r="L30" i="9" s="1"/>
  <c r="Y22" i="6"/>
  <c r="X24" i="9"/>
  <c r="L13" i="7"/>
  <c r="L20" i="7" s="1"/>
  <c r="Q6" i="4" s="1"/>
  <c r="AM10" i="9"/>
  <c r="U26" i="6"/>
  <c r="R16" i="9"/>
  <c r="S24" i="6"/>
  <c r="S25" i="9" s="1"/>
  <c r="W14" i="4"/>
  <c r="N18" i="9"/>
  <c r="M17" i="9"/>
  <c r="M19" i="9" s="1"/>
  <c r="N12" i="9"/>
  <c r="M11" i="9"/>
  <c r="K20" i="7"/>
  <c r="P6" i="4" s="1"/>
  <c r="M9" i="7"/>
  <c r="M12" i="7"/>
  <c r="N8" i="7"/>
  <c r="M21" i="6" l="1"/>
  <c r="M30" i="9" s="1"/>
  <c r="M15" i="9"/>
  <c r="M13" i="9"/>
  <c r="Y24" i="9"/>
  <c r="Z22" i="6"/>
  <c r="AN10" i="9"/>
  <c r="V26" i="6"/>
  <c r="T24" i="6"/>
  <c r="T25" i="9" s="1"/>
  <c r="X14" i="4"/>
  <c r="N12" i="7"/>
  <c r="S16" i="9"/>
  <c r="O12" i="9"/>
  <c r="N11" i="9"/>
  <c r="O18" i="9"/>
  <c r="N17" i="9"/>
  <c r="N19" i="9" s="1"/>
  <c r="N9" i="7"/>
  <c r="M13" i="7"/>
  <c r="O8" i="7"/>
  <c r="K22" i="7"/>
  <c r="K27" i="9" s="1"/>
  <c r="N21" i="6" l="1"/>
  <c r="N30" i="9" s="1"/>
  <c r="N15" i="9"/>
  <c r="N13" i="9"/>
  <c r="AA22" i="6"/>
  <c r="Z24" i="9"/>
  <c r="N13" i="7"/>
  <c r="N20" i="7" s="1"/>
  <c r="S6" i="4" s="1"/>
  <c r="W26" i="6"/>
  <c r="E26" i="6"/>
  <c r="AO10" i="9"/>
  <c r="T16" i="9"/>
  <c r="U24" i="6"/>
  <c r="U25" i="9" s="1"/>
  <c r="Y14" i="4"/>
  <c r="P12" i="9"/>
  <c r="O11" i="9"/>
  <c r="P18" i="9"/>
  <c r="O17" i="9"/>
  <c r="O19" i="9" s="1"/>
  <c r="P8" i="7"/>
  <c r="M20" i="7"/>
  <c r="R6" i="4" s="1"/>
  <c r="O9" i="7"/>
  <c r="O12" i="7"/>
  <c r="K23" i="7"/>
  <c r="O21" i="6" l="1"/>
  <c r="O30" i="9" s="1"/>
  <c r="O15" i="9"/>
  <c r="O13" i="9"/>
  <c r="K25" i="7"/>
  <c r="AB22" i="6"/>
  <c r="AA24" i="9"/>
  <c r="O13" i="7"/>
  <c r="O20" i="7" s="1"/>
  <c r="T6" i="4" s="1"/>
  <c r="AP10" i="9"/>
  <c r="X26" i="6"/>
  <c r="U16" i="9"/>
  <c r="V24" i="6"/>
  <c r="V25" i="9" s="1"/>
  <c r="Z14" i="4"/>
  <c r="P12" i="7"/>
  <c r="Q12" i="9"/>
  <c r="P11" i="9"/>
  <c r="Q18" i="9"/>
  <c r="P17" i="9"/>
  <c r="P19" i="9" s="1"/>
  <c r="P9" i="7"/>
  <c r="Q8" i="7"/>
  <c r="K24" i="7"/>
  <c r="P21" i="6" l="1"/>
  <c r="P30" i="9" s="1"/>
  <c r="P15" i="9"/>
  <c r="P13" i="9"/>
  <c r="AC22" i="6"/>
  <c r="AB24" i="9"/>
  <c r="P13" i="7"/>
  <c r="P20" i="7" s="1"/>
  <c r="U6" i="4" s="1"/>
  <c r="AQ10" i="9"/>
  <c r="Y26" i="6"/>
  <c r="AA14" i="4"/>
  <c r="E14" i="4" s="1"/>
  <c r="E24" i="6"/>
  <c r="W24" i="6"/>
  <c r="W25" i="9" s="1"/>
  <c r="K28" i="9"/>
  <c r="Q12" i="7"/>
  <c r="R18" i="9"/>
  <c r="Q17" i="9"/>
  <c r="Q19" i="9" s="1"/>
  <c r="R12" i="9"/>
  <c r="Q11" i="9"/>
  <c r="Q9" i="7"/>
  <c r="K26" i="7"/>
  <c r="K27" i="6" s="1"/>
  <c r="R8" i="7"/>
  <c r="Q21" i="6" l="1"/>
  <c r="Q30" i="9" s="1"/>
  <c r="Q15" i="9"/>
  <c r="Q13" i="9"/>
  <c r="AD22" i="6"/>
  <c r="AC24" i="9"/>
  <c r="K39" i="9"/>
  <c r="Q13" i="7"/>
  <c r="Q20" i="7" s="1"/>
  <c r="V6" i="4" s="1"/>
  <c r="AR10" i="9"/>
  <c r="Z26" i="6"/>
  <c r="X24" i="6"/>
  <c r="X25" i="9" s="1"/>
  <c r="AB14" i="4"/>
  <c r="E24" i="9"/>
  <c r="V16" i="9"/>
  <c r="E10" i="1"/>
  <c r="R17" i="9"/>
  <c r="R19" i="9" s="1"/>
  <c r="S18" i="9"/>
  <c r="S12" i="9"/>
  <c r="R11" i="9"/>
  <c r="S8" i="7"/>
  <c r="R12" i="7"/>
  <c r="R9" i="7"/>
  <c r="R21" i="6" l="1"/>
  <c r="R30" i="9" s="1"/>
  <c r="R15" i="9"/>
  <c r="R13" i="9"/>
  <c r="AD24" i="9"/>
  <c r="AE22" i="6"/>
  <c r="R13" i="7"/>
  <c r="R20" i="7" s="1"/>
  <c r="W6" i="4" s="1"/>
  <c r="AS10" i="9"/>
  <c r="AA26" i="6"/>
  <c r="X16" i="9"/>
  <c r="W16" i="9"/>
  <c r="Y24" i="6"/>
  <c r="Y25" i="9" s="1"/>
  <c r="AC14" i="4"/>
  <c r="S12" i="7"/>
  <c r="T12" i="9"/>
  <c r="S11" i="9"/>
  <c r="S17" i="9"/>
  <c r="S19" i="9" s="1"/>
  <c r="T18" i="9"/>
  <c r="T8" i="7"/>
  <c r="S9" i="7"/>
  <c r="S21" i="6" l="1"/>
  <c r="S30" i="9" s="1"/>
  <c r="S15" i="9"/>
  <c r="S13" i="9"/>
  <c r="AE24" i="9"/>
  <c r="AF22" i="6"/>
  <c r="S13" i="7"/>
  <c r="S20" i="7" s="1"/>
  <c r="X6" i="4" s="1"/>
  <c r="AB26" i="6"/>
  <c r="AT10" i="9"/>
  <c r="K9" i="1"/>
  <c r="Z24" i="6"/>
  <c r="Z25" i="9" s="1"/>
  <c r="AD14" i="4"/>
  <c r="T12" i="7"/>
  <c r="U18" i="9"/>
  <c r="T17" i="9"/>
  <c r="T19" i="9" s="1"/>
  <c r="U12" i="9"/>
  <c r="T11" i="9"/>
  <c r="U8" i="7"/>
  <c r="T9" i="7"/>
  <c r="T21" i="6" l="1"/>
  <c r="T30" i="9" s="1"/>
  <c r="T15" i="9"/>
  <c r="T13" i="9"/>
  <c r="AG22" i="6"/>
  <c r="AF24" i="9"/>
  <c r="T13" i="7"/>
  <c r="T20" i="7" s="1"/>
  <c r="Y6" i="4" s="1"/>
  <c r="AC26" i="6"/>
  <c r="AU10" i="9"/>
  <c r="Z16" i="9"/>
  <c r="AA24" i="6"/>
  <c r="AA25" i="9" s="1"/>
  <c r="AE14" i="4"/>
  <c r="U12" i="7"/>
  <c r="Y16" i="9"/>
  <c r="V18" i="9"/>
  <c r="U17" i="9"/>
  <c r="U19" i="9" s="1"/>
  <c r="V12" i="9"/>
  <c r="U11" i="9"/>
  <c r="U9" i="7"/>
  <c r="E6" i="7"/>
  <c r="AG10" i="10" s="1"/>
  <c r="E7" i="7"/>
  <c r="AG11" i="10" s="1"/>
  <c r="U21" i="6" l="1"/>
  <c r="U30" i="9" s="1"/>
  <c r="U15" i="9"/>
  <c r="U13" i="9"/>
  <c r="AG24" i="9"/>
  <c r="AH22" i="6"/>
  <c r="F22" i="6" s="1"/>
  <c r="U13" i="7"/>
  <c r="U20" i="7" s="1"/>
  <c r="Z6" i="4" s="1"/>
  <c r="AV10" i="9"/>
  <c r="AD26" i="6"/>
  <c r="AA16" i="9"/>
  <c r="AB24" i="6"/>
  <c r="AB25" i="9" s="1"/>
  <c r="AF14" i="4"/>
  <c r="W18" i="9"/>
  <c r="V17" i="9"/>
  <c r="V19" i="9" s="1"/>
  <c r="W12" i="9"/>
  <c r="V11" i="9"/>
  <c r="V8" i="7"/>
  <c r="V12" i="7"/>
  <c r="V21" i="6" l="1"/>
  <c r="V30" i="9" s="1"/>
  <c r="E30" i="9" s="1"/>
  <c r="V15" i="9"/>
  <c r="V13" i="9"/>
  <c r="AH24" i="9"/>
  <c r="AI22" i="6"/>
  <c r="E12" i="7"/>
  <c r="AG12" i="10" s="1"/>
  <c r="AW10" i="9"/>
  <c r="AE26" i="6"/>
  <c r="AC24" i="6"/>
  <c r="AC25" i="9" s="1"/>
  <c r="AG14" i="4"/>
  <c r="X18" i="9"/>
  <c r="W17" i="9"/>
  <c r="W19" i="9" s="1"/>
  <c r="X12" i="9"/>
  <c r="W11" i="9"/>
  <c r="X8" i="7"/>
  <c r="W8" i="7"/>
  <c r="V13" i="7"/>
  <c r="V9" i="7"/>
  <c r="E8" i="7"/>
  <c r="E9" i="7" s="1"/>
  <c r="W12" i="7"/>
  <c r="W21" i="6" l="1"/>
  <c r="W30" i="9" s="1"/>
  <c r="W15" i="9"/>
  <c r="W13" i="9"/>
  <c r="AI24" i="9"/>
  <c r="AJ22" i="6"/>
  <c r="E21" i="6"/>
  <c r="AF26" i="6"/>
  <c r="AX10" i="9"/>
  <c r="AB16" i="9"/>
  <c r="AD24" i="6"/>
  <c r="AD25" i="9" s="1"/>
  <c r="AH14" i="4"/>
  <c r="X12" i="7"/>
  <c r="AC16" i="9"/>
  <c r="Y18" i="9"/>
  <c r="X17" i="9"/>
  <c r="X19" i="9" s="1"/>
  <c r="Y12" i="9"/>
  <c r="X11" i="9"/>
  <c r="W13" i="7"/>
  <c r="W9" i="7"/>
  <c r="Y8" i="7"/>
  <c r="V20" i="7"/>
  <c r="AA6" i="4" s="1"/>
  <c r="E13" i="7"/>
  <c r="X9" i="7"/>
  <c r="X21" i="6" l="1"/>
  <c r="X30" i="9" s="1"/>
  <c r="X15" i="9"/>
  <c r="X13" i="9"/>
  <c r="AK22" i="6"/>
  <c r="AJ24" i="9"/>
  <c r="X13" i="7"/>
  <c r="X20" i="7" s="1"/>
  <c r="AC6" i="4" s="1"/>
  <c r="AY10" i="9"/>
  <c r="AG26" i="6"/>
  <c r="AI14" i="4"/>
  <c r="AE24" i="6"/>
  <c r="AE25" i="9" s="1"/>
  <c r="Y12" i="7"/>
  <c r="Z12" i="9"/>
  <c r="Y11" i="9"/>
  <c r="Z18" i="9"/>
  <c r="Y17" i="9"/>
  <c r="Y19" i="9" s="1"/>
  <c r="Y9" i="7"/>
  <c r="Z8" i="7"/>
  <c r="W20" i="7"/>
  <c r="AB6" i="4" s="1"/>
  <c r="E20" i="7"/>
  <c r="Y21" i="6" l="1"/>
  <c r="Y30" i="9" s="1"/>
  <c r="Y15" i="9"/>
  <c r="Y13" i="9"/>
  <c r="AL22" i="6"/>
  <c r="AK24" i="9"/>
  <c r="Y13" i="7"/>
  <c r="Y20" i="7" s="1"/>
  <c r="AD6" i="4" s="1"/>
  <c r="AZ10" i="9"/>
  <c r="AH26" i="6"/>
  <c r="AF24" i="6"/>
  <c r="AF25" i="9" s="1"/>
  <c r="AJ14" i="4"/>
  <c r="AE16" i="9"/>
  <c r="AD16" i="9"/>
  <c r="Z12" i="7"/>
  <c r="Z11" i="9"/>
  <c r="AA12" i="9"/>
  <c r="Z17" i="9"/>
  <c r="Z19" i="9" s="1"/>
  <c r="AA18" i="9"/>
  <c r="Z9" i="7"/>
  <c r="AA8" i="7"/>
  <c r="Z21" i="6" l="1"/>
  <c r="Z30" i="9" s="1"/>
  <c r="Z15" i="9"/>
  <c r="Z13" i="9"/>
  <c r="AM22" i="6"/>
  <c r="AL24" i="9"/>
  <c r="Z13" i="7"/>
  <c r="Z20" i="7" s="1"/>
  <c r="AE6" i="4" s="1"/>
  <c r="F26" i="6"/>
  <c r="AI26" i="6"/>
  <c r="BA10" i="9"/>
  <c r="AG24" i="6"/>
  <c r="AG25" i="9" s="1"/>
  <c r="AK14" i="4"/>
  <c r="AF16" i="9"/>
  <c r="AB12" i="9"/>
  <c r="AA11" i="9"/>
  <c r="AA17" i="9"/>
  <c r="AA19" i="9" s="1"/>
  <c r="AB18" i="9"/>
  <c r="AA12" i="7"/>
  <c r="AA9" i="7"/>
  <c r="AB8" i="7"/>
  <c r="AA21" i="6" l="1"/>
  <c r="AA30" i="9" s="1"/>
  <c r="AA15" i="9"/>
  <c r="AA13" i="9"/>
  <c r="AN22" i="6"/>
  <c r="AM24" i="9"/>
  <c r="AA13" i="7"/>
  <c r="AA20" i="7" s="1"/>
  <c r="AF6" i="4" s="1"/>
  <c r="BB10" i="9"/>
  <c r="AJ26" i="6"/>
  <c r="AG16" i="9"/>
  <c r="AB12" i="7"/>
  <c r="AH24" i="6"/>
  <c r="AH25" i="9" s="1"/>
  <c r="AL14" i="4"/>
  <c r="AC18" i="9"/>
  <c r="AB17" i="9"/>
  <c r="AB19" i="9" s="1"/>
  <c r="AC12" i="9"/>
  <c r="AB11" i="9"/>
  <c r="AC8" i="7"/>
  <c r="AB9" i="7"/>
  <c r="AB21" i="6" l="1"/>
  <c r="AB30" i="9" s="1"/>
  <c r="AB15" i="9"/>
  <c r="AB13" i="9"/>
  <c r="AO22" i="6"/>
  <c r="AN24" i="9"/>
  <c r="AB13" i="7"/>
  <c r="AB20" i="7" s="1"/>
  <c r="AG6" i="4" s="1"/>
  <c r="BC10" i="9"/>
  <c r="AK26" i="6"/>
  <c r="AC12" i="7"/>
  <c r="AI24" i="6"/>
  <c r="AI25" i="9" s="1"/>
  <c r="AM14" i="4"/>
  <c r="G14" i="4" s="1"/>
  <c r="F24" i="6"/>
  <c r="H25" i="4" s="1"/>
  <c r="AD12" i="9"/>
  <c r="AC11" i="9"/>
  <c r="AD18" i="9"/>
  <c r="AC17" i="9"/>
  <c r="AC19" i="9" s="1"/>
  <c r="AD8" i="7"/>
  <c r="AC9" i="7"/>
  <c r="AC21" i="6" l="1"/>
  <c r="AC30" i="9" s="1"/>
  <c r="AC15" i="9"/>
  <c r="AC13" i="9"/>
  <c r="AO24" i="9"/>
  <c r="AP22" i="6"/>
  <c r="AC13" i="7"/>
  <c r="AC20" i="7" s="1"/>
  <c r="AH6" i="4" s="1"/>
  <c r="BD10" i="9"/>
  <c r="AL26" i="6"/>
  <c r="AH16" i="9"/>
  <c r="G10" i="1"/>
  <c r="F24" i="9"/>
  <c r="AD12" i="7"/>
  <c r="AJ24" i="6"/>
  <c r="AJ25" i="9" s="1"/>
  <c r="AN14" i="4"/>
  <c r="AE12" i="9"/>
  <c r="AD11" i="9"/>
  <c r="AE18" i="9"/>
  <c r="AD17" i="9"/>
  <c r="AD19" i="9" s="1"/>
  <c r="AD9" i="7"/>
  <c r="AE8" i="7"/>
  <c r="AD21" i="6" l="1"/>
  <c r="AD30" i="9" s="1"/>
  <c r="AD15" i="9"/>
  <c r="AD13" i="9"/>
  <c r="AP24" i="9"/>
  <c r="AQ22" i="6"/>
  <c r="AD13" i="7"/>
  <c r="AD20" i="7" s="1"/>
  <c r="AI6" i="4" s="1"/>
  <c r="BE10" i="9"/>
  <c r="AM26" i="6"/>
  <c r="AK24" i="6"/>
  <c r="AK25" i="9" s="1"/>
  <c r="AO14" i="4"/>
  <c r="AE12" i="7"/>
  <c r="AJ16" i="9"/>
  <c r="AI16" i="9"/>
  <c r="AF18" i="9"/>
  <c r="AE17" i="9"/>
  <c r="AE19" i="9" s="1"/>
  <c r="AF12" i="9"/>
  <c r="AE11" i="9"/>
  <c r="AF8" i="7"/>
  <c r="AE9" i="7"/>
  <c r="AE21" i="6" l="1"/>
  <c r="AE30" i="9" s="1"/>
  <c r="AE15" i="9"/>
  <c r="AE13" i="9"/>
  <c r="AQ24" i="9"/>
  <c r="AR22" i="6"/>
  <c r="AE13" i="7"/>
  <c r="AE20" i="7" s="1"/>
  <c r="AJ6" i="4" s="1"/>
  <c r="AN26" i="6"/>
  <c r="BF10" i="9"/>
  <c r="O9" i="1"/>
  <c r="AL24" i="6"/>
  <c r="AL25" i="9" s="1"/>
  <c r="AP14" i="4"/>
  <c r="AF12" i="7"/>
  <c r="AK16" i="9"/>
  <c r="AG18" i="9"/>
  <c r="AF17" i="9"/>
  <c r="AF19" i="9" s="1"/>
  <c r="AG12" i="9"/>
  <c r="AF11" i="9"/>
  <c r="AG8" i="7"/>
  <c r="AF9" i="7"/>
  <c r="AF21" i="6" l="1"/>
  <c r="AF30" i="9" s="1"/>
  <c r="AF15" i="9"/>
  <c r="AF13" i="9"/>
  <c r="AR24" i="9"/>
  <c r="AS22" i="6"/>
  <c r="AF13" i="7"/>
  <c r="AF20" i="7" s="1"/>
  <c r="AK6" i="4" s="1"/>
  <c r="AO26" i="6"/>
  <c r="BG10" i="9"/>
  <c r="AL16" i="9"/>
  <c r="AQ14" i="4"/>
  <c r="AM24" i="6"/>
  <c r="AM25" i="9" s="1"/>
  <c r="AG12" i="7"/>
  <c r="AH18" i="9"/>
  <c r="AG17" i="9"/>
  <c r="AG19" i="9" s="1"/>
  <c r="AH12" i="9"/>
  <c r="AG11" i="9"/>
  <c r="AG9" i="7"/>
  <c r="F6" i="7"/>
  <c r="F7" i="7"/>
  <c r="AG21" i="6" l="1"/>
  <c r="AG30" i="9" s="1"/>
  <c r="AG15" i="9"/>
  <c r="AG13" i="9"/>
  <c r="AS24" i="9"/>
  <c r="AT22" i="6"/>
  <c r="G22" i="6" s="1"/>
  <c r="AG13" i="7"/>
  <c r="AG20" i="7" s="1"/>
  <c r="AL6" i="4" s="1"/>
  <c r="BH10" i="9"/>
  <c r="AP26" i="6"/>
  <c r="AM16" i="9"/>
  <c r="AH11" i="10"/>
  <c r="AN24" i="6"/>
  <c r="AN25" i="9" s="1"/>
  <c r="AR14" i="4"/>
  <c r="AH10" i="10"/>
  <c r="AI12" i="9"/>
  <c r="AH11" i="9"/>
  <c r="F18" i="9"/>
  <c r="F12" i="9"/>
  <c r="AI18" i="9"/>
  <c r="AH17" i="9"/>
  <c r="AH19" i="9" s="1"/>
  <c r="F19" i="9" s="1"/>
  <c r="F16" i="9"/>
  <c r="AH8" i="7"/>
  <c r="AI8" i="7"/>
  <c r="AH12" i="7"/>
  <c r="AH21" i="6" l="1"/>
  <c r="AH30" i="9" s="1"/>
  <c r="F30" i="9" s="1"/>
  <c r="AH15" i="9"/>
  <c r="F15" i="9" s="1"/>
  <c r="AH13" i="9"/>
  <c r="F13" i="9" s="1"/>
  <c r="AU22" i="6"/>
  <c r="AT24" i="9"/>
  <c r="F12" i="7"/>
  <c r="BI10" i="9"/>
  <c r="AQ26" i="6"/>
  <c r="AN16" i="9"/>
  <c r="AO24" i="6"/>
  <c r="AO25" i="9" s="1"/>
  <c r="AS14" i="4"/>
  <c r="AH13" i="7"/>
  <c r="AH20" i="7" s="1"/>
  <c r="AM6" i="4" s="1"/>
  <c r="F17" i="9"/>
  <c r="AJ18" i="9"/>
  <c r="AI17" i="9"/>
  <c r="AI19" i="9" s="1"/>
  <c r="F8" i="7"/>
  <c r="F9" i="7" s="1"/>
  <c r="AH9" i="7"/>
  <c r="F11" i="9"/>
  <c r="AJ12" i="9"/>
  <c r="AI11" i="9"/>
  <c r="AJ8" i="7"/>
  <c r="AI12" i="7"/>
  <c r="AI9" i="7"/>
  <c r="AI21" i="6" l="1"/>
  <c r="AI30" i="9" s="1"/>
  <c r="AI15" i="9"/>
  <c r="AI13" i="9"/>
  <c r="AU24" i="9"/>
  <c r="AV22" i="6"/>
  <c r="AH12" i="10"/>
  <c r="F21" i="6"/>
  <c r="BJ10" i="9"/>
  <c r="AR26" i="6"/>
  <c r="F13" i="7"/>
  <c r="N23" i="4" s="1"/>
  <c r="AP24" i="6"/>
  <c r="AP25" i="9" s="1"/>
  <c r="AT14" i="4"/>
  <c r="AO16" i="9"/>
  <c r="AJ12" i="7"/>
  <c r="AK12" i="9"/>
  <c r="AJ11" i="9"/>
  <c r="AK18" i="9"/>
  <c r="AJ17" i="9"/>
  <c r="AJ19" i="9" s="1"/>
  <c r="AJ9" i="7"/>
  <c r="AI13" i="7"/>
  <c r="F20" i="7"/>
  <c r="AJ21" i="6" l="1"/>
  <c r="AJ30" i="9" s="1"/>
  <c r="AJ15" i="9"/>
  <c r="AJ13" i="9"/>
  <c r="AW22" i="6"/>
  <c r="AV24" i="9"/>
  <c r="AJ13" i="7"/>
  <c r="AJ20" i="7" s="1"/>
  <c r="AO6" i="4" s="1"/>
  <c r="AS26" i="6"/>
  <c r="BK10" i="9"/>
  <c r="AH28" i="10"/>
  <c r="AP16" i="9"/>
  <c r="AQ24" i="6"/>
  <c r="AQ25" i="9" s="1"/>
  <c r="AU14" i="4"/>
  <c r="AL12" i="9"/>
  <c r="AK11" i="9"/>
  <c r="AL18" i="9"/>
  <c r="AK17" i="9"/>
  <c r="AK19" i="9" s="1"/>
  <c r="AI20" i="7"/>
  <c r="AN6" i="4" s="1"/>
  <c r="AK8" i="7"/>
  <c r="AL8" i="7"/>
  <c r="AK12" i="7"/>
  <c r="AK21" i="6" l="1"/>
  <c r="AK30" i="9" s="1"/>
  <c r="AK15" i="9"/>
  <c r="AK13" i="9"/>
  <c r="AW24" i="9"/>
  <c r="AX22" i="6"/>
  <c r="BL10" i="9"/>
  <c r="AT26" i="6"/>
  <c r="AR24" i="6"/>
  <c r="AR25" i="9" s="1"/>
  <c r="AV14" i="4"/>
  <c r="AQ16" i="9"/>
  <c r="AL12" i="7"/>
  <c r="AM18" i="9"/>
  <c r="AL17" i="9"/>
  <c r="AL19" i="9" s="1"/>
  <c r="AM12" i="9"/>
  <c r="AL11" i="9"/>
  <c r="AK13" i="7"/>
  <c r="AK9" i="7"/>
  <c r="AL9" i="7"/>
  <c r="AM8" i="7"/>
  <c r="AL21" i="6" l="1"/>
  <c r="AL30" i="9" s="1"/>
  <c r="AL15" i="9"/>
  <c r="AL13" i="9"/>
  <c r="AX24" i="9"/>
  <c r="AY22" i="6"/>
  <c r="AL13" i="7"/>
  <c r="AL20" i="7" s="1"/>
  <c r="AQ6" i="4" s="1"/>
  <c r="AU26" i="6"/>
  <c r="G26" i="6"/>
  <c r="BM10" i="9"/>
  <c r="AR16" i="9"/>
  <c r="AS24" i="6"/>
  <c r="AS25" i="9" s="1"/>
  <c r="AW14" i="4"/>
  <c r="AM12" i="7"/>
  <c r="AN12" i="9"/>
  <c r="AM11" i="9"/>
  <c r="AN18" i="9"/>
  <c r="AM17" i="9"/>
  <c r="AM19" i="9" s="1"/>
  <c r="AM9" i="7"/>
  <c r="AK20" i="7"/>
  <c r="AP6" i="4" s="1"/>
  <c r="AN8" i="7"/>
  <c r="AM21" i="6" l="1"/>
  <c r="AM30" i="9" s="1"/>
  <c r="AM15" i="9"/>
  <c r="AM13" i="9"/>
  <c r="AY24" i="9"/>
  <c r="AZ22" i="6"/>
  <c r="AM13" i="7"/>
  <c r="AM20" i="7" s="1"/>
  <c r="AR6" i="4" s="1"/>
  <c r="BN10" i="9"/>
  <c r="AV26" i="6"/>
  <c r="AS16" i="9"/>
  <c r="AT24" i="6"/>
  <c r="AT25" i="9" s="1"/>
  <c r="AX14" i="4"/>
  <c r="AO18" i="9"/>
  <c r="AN17" i="9"/>
  <c r="AN19" i="9" s="1"/>
  <c r="AO12" i="9"/>
  <c r="AN11" i="9"/>
  <c r="AN9" i="7"/>
  <c r="AN12" i="7"/>
  <c r="AO8" i="7"/>
  <c r="AN21" i="6" l="1"/>
  <c r="AN30" i="9" s="1"/>
  <c r="AN15" i="9"/>
  <c r="AN13" i="9"/>
  <c r="AZ24" i="9"/>
  <c r="BA22" i="6"/>
  <c r="BO10" i="9"/>
  <c r="AW26" i="6"/>
  <c r="AY14" i="4"/>
  <c r="I14" i="4" s="1"/>
  <c r="AU24" i="6"/>
  <c r="AU25" i="9" s="1"/>
  <c r="G24" i="6"/>
  <c r="AO12" i="7"/>
  <c r="AP12" i="9"/>
  <c r="AO11" i="9"/>
  <c r="AP18" i="9"/>
  <c r="AO17" i="9"/>
  <c r="AO19" i="9" s="1"/>
  <c r="AO9" i="7"/>
  <c r="AP8" i="7"/>
  <c r="AN13" i="7"/>
  <c r="AO21" i="6" l="1"/>
  <c r="AO30" i="9" s="1"/>
  <c r="AO15" i="9"/>
  <c r="AO13" i="9"/>
  <c r="BB22" i="6"/>
  <c r="BA24" i="9"/>
  <c r="AO13" i="7"/>
  <c r="AO20" i="7" s="1"/>
  <c r="AT6" i="4" s="1"/>
  <c r="BP10" i="9"/>
  <c r="AX26" i="6"/>
  <c r="AV24" i="6"/>
  <c r="AV25" i="9" s="1"/>
  <c r="AZ14" i="4"/>
  <c r="AT16" i="9"/>
  <c r="K10" i="1"/>
  <c r="G24" i="9"/>
  <c r="AQ12" i="9"/>
  <c r="AP11" i="9"/>
  <c r="AQ18" i="9"/>
  <c r="AP17" i="9"/>
  <c r="AP19" i="9" s="1"/>
  <c r="AP9" i="7"/>
  <c r="AQ8" i="7"/>
  <c r="AN20" i="7"/>
  <c r="AS6" i="4" s="1"/>
  <c r="AP12" i="7"/>
  <c r="AP21" i="6" l="1"/>
  <c r="AP30" i="9" s="1"/>
  <c r="AP15" i="9"/>
  <c r="AP13" i="9"/>
  <c r="BC22" i="6"/>
  <c r="BB24" i="9"/>
  <c r="AP13" i="7"/>
  <c r="AP20" i="7" s="1"/>
  <c r="AU6" i="4" s="1"/>
  <c r="BQ10" i="9"/>
  <c r="AY26" i="6"/>
  <c r="AQ12" i="7"/>
  <c r="AW24" i="6"/>
  <c r="AW25" i="9" s="1"/>
  <c r="BA14" i="4"/>
  <c r="AV16" i="9"/>
  <c r="AU16" i="9"/>
  <c r="AR12" i="9"/>
  <c r="AQ11" i="9"/>
  <c r="AR18" i="9"/>
  <c r="AQ17" i="9"/>
  <c r="AQ19" i="9" s="1"/>
  <c r="AR8" i="7"/>
  <c r="AQ9" i="7"/>
  <c r="AQ21" i="6" l="1"/>
  <c r="AQ30" i="9" s="1"/>
  <c r="AQ15" i="9"/>
  <c r="AQ13" i="9"/>
  <c r="BC24" i="9"/>
  <c r="BD22" i="6"/>
  <c r="AQ13" i="7"/>
  <c r="AQ20" i="7" s="1"/>
  <c r="AV6" i="4" s="1"/>
  <c r="AZ26" i="6"/>
  <c r="BR10" i="9"/>
  <c r="S9" i="1"/>
  <c r="AR12" i="7"/>
  <c r="AX24" i="6"/>
  <c r="AX25" i="9" s="1"/>
  <c r="BB14" i="4"/>
  <c r="AS18" i="9"/>
  <c r="AR17" i="9"/>
  <c r="AR19" i="9" s="1"/>
  <c r="AS12" i="9"/>
  <c r="AR11" i="9"/>
  <c r="AR9" i="7"/>
  <c r="AS8" i="7"/>
  <c r="AR21" i="6" l="1"/>
  <c r="AR30" i="9" s="1"/>
  <c r="AR15" i="9"/>
  <c r="AR13" i="9"/>
  <c r="BD24" i="9"/>
  <c r="BE22" i="6"/>
  <c r="AR13" i="7"/>
  <c r="AR20" i="7" s="1"/>
  <c r="AW6" i="4" s="1"/>
  <c r="BA26" i="6"/>
  <c r="AS12" i="7"/>
  <c r="AY24" i="6"/>
  <c r="AY25" i="9" s="1"/>
  <c r="BC14" i="4"/>
  <c r="AW16" i="9"/>
  <c r="AX16" i="9"/>
  <c r="AT12" i="9"/>
  <c r="AS11" i="9"/>
  <c r="AT18" i="9"/>
  <c r="AS17" i="9"/>
  <c r="AS19" i="9" s="1"/>
  <c r="AS9" i="7"/>
  <c r="G6" i="7"/>
  <c r="AI10" i="10" s="1"/>
  <c r="G7" i="7"/>
  <c r="AI11" i="10" s="1"/>
  <c r="AS21" i="6" l="1"/>
  <c r="AS30" i="9" s="1"/>
  <c r="AS15" i="9"/>
  <c r="AS13" i="9"/>
  <c r="BE24" i="9"/>
  <c r="BF22" i="6"/>
  <c r="H22" i="6" s="1"/>
  <c r="AS13" i="7"/>
  <c r="AS20" i="7" s="1"/>
  <c r="AX6" i="4" s="1"/>
  <c r="BB26" i="6"/>
  <c r="AZ24" i="6"/>
  <c r="AZ25" i="9" s="1"/>
  <c r="BD14" i="4"/>
  <c r="G18" i="9"/>
  <c r="M9" i="1"/>
  <c r="G12" i="9"/>
  <c r="L10" i="1"/>
  <c r="AU8" i="7"/>
  <c r="AT12" i="7"/>
  <c r="AT8" i="7"/>
  <c r="AT21" i="6" l="1"/>
  <c r="AT30" i="9" s="1"/>
  <c r="G30" i="9" s="1"/>
  <c r="BF24" i="9"/>
  <c r="BG22" i="6"/>
  <c r="G12" i="7"/>
  <c r="AI12" i="10" s="1"/>
  <c r="BC26" i="6"/>
  <c r="BA24" i="6"/>
  <c r="BA25" i="9" s="1"/>
  <c r="BE14" i="4"/>
  <c r="AZ16" i="9"/>
  <c r="AY16" i="9"/>
  <c r="M10" i="1"/>
  <c r="AV18" i="9"/>
  <c r="AU17" i="9"/>
  <c r="AU18" i="9"/>
  <c r="AT17" i="9"/>
  <c r="AT19" i="9" s="1"/>
  <c r="G19" i="9" s="1"/>
  <c r="G16" i="9"/>
  <c r="AV12" i="9"/>
  <c r="AU11" i="9"/>
  <c r="L9" i="1"/>
  <c r="AU12" i="9"/>
  <c r="AT11" i="9"/>
  <c r="G10" i="9"/>
  <c r="AU12" i="7"/>
  <c r="AT13" i="7"/>
  <c r="AT9" i="7"/>
  <c r="G8" i="7"/>
  <c r="G9" i="7" s="1"/>
  <c r="AU9" i="7"/>
  <c r="AV8" i="7"/>
  <c r="AU21" i="6" l="1"/>
  <c r="AU30" i="9" s="1"/>
  <c r="AU19" i="9"/>
  <c r="AU15" i="9"/>
  <c r="AU13" i="9"/>
  <c r="AT15" i="9"/>
  <c r="AT13" i="9"/>
  <c r="G13" i="9" s="1"/>
  <c r="BG24" i="9"/>
  <c r="BH22" i="6"/>
  <c r="G21" i="6"/>
  <c r="AU13" i="7"/>
  <c r="AU20" i="7" s="1"/>
  <c r="AZ6" i="4" s="1"/>
  <c r="BD26" i="6"/>
  <c r="AV12" i="7"/>
  <c r="BB24" i="6"/>
  <c r="BB25" i="9" s="1"/>
  <c r="BF14" i="4"/>
  <c r="AW18" i="9"/>
  <c r="AV17" i="9"/>
  <c r="AV19" i="9" s="1"/>
  <c r="G11" i="9"/>
  <c r="AV11" i="9"/>
  <c r="AW12" i="9"/>
  <c r="G17" i="9"/>
  <c r="AV9" i="7"/>
  <c r="AT20" i="7"/>
  <c r="AY6" i="4" s="1"/>
  <c r="G13" i="7"/>
  <c r="AV21" i="6" l="1"/>
  <c r="AV30" i="9" s="1"/>
  <c r="AV15" i="9"/>
  <c r="AV13" i="9"/>
  <c r="BI22" i="6"/>
  <c r="BH24" i="9"/>
  <c r="AV13" i="7"/>
  <c r="AV20" i="7" s="1"/>
  <c r="BA6" i="4" s="1"/>
  <c r="BE26" i="6"/>
  <c r="BA16" i="9"/>
  <c r="AW12" i="7"/>
  <c r="BG14" i="4"/>
  <c r="BC24" i="6"/>
  <c r="BC25" i="9" s="1"/>
  <c r="BB16" i="9"/>
  <c r="G15" i="9"/>
  <c r="AX18" i="9"/>
  <c r="AW17" i="9"/>
  <c r="AW19" i="9" s="1"/>
  <c r="AX12" i="9"/>
  <c r="AW11" i="9"/>
  <c r="G20" i="7"/>
  <c r="AX8" i="7"/>
  <c r="AW8" i="7"/>
  <c r="AW21" i="6" l="1"/>
  <c r="AW30" i="9" s="1"/>
  <c r="AW15" i="9"/>
  <c r="AW13" i="9"/>
  <c r="BI24" i="9"/>
  <c r="BJ22" i="6"/>
  <c r="BF26" i="6"/>
  <c r="BC16" i="9"/>
  <c r="BD24" i="6"/>
  <c r="BD25" i="9" s="1"/>
  <c r="BH14" i="4"/>
  <c r="AY12" i="9"/>
  <c r="AX11" i="9"/>
  <c r="AX17" i="9"/>
  <c r="AX19" i="9" s="1"/>
  <c r="AY18" i="9"/>
  <c r="AX9" i="7"/>
  <c r="AX12" i="7"/>
  <c r="AY8" i="7"/>
  <c r="AW9" i="7"/>
  <c r="AW13" i="7"/>
  <c r="AX21" i="6" l="1"/>
  <c r="AX30" i="9" s="1"/>
  <c r="AX15" i="9"/>
  <c r="AX13" i="9"/>
  <c r="BJ24" i="9"/>
  <c r="BK22" i="6"/>
  <c r="BG26" i="6"/>
  <c r="H26" i="6"/>
  <c r="BD16" i="9"/>
  <c r="BE24" i="6"/>
  <c r="BE25" i="9" s="1"/>
  <c r="BI14" i="4"/>
  <c r="AY12" i="7"/>
  <c r="AZ12" i="9"/>
  <c r="AY11" i="9"/>
  <c r="AY17" i="9"/>
  <c r="AY19" i="9" s="1"/>
  <c r="AZ18" i="9"/>
  <c r="AY9" i="7"/>
  <c r="AW20" i="7"/>
  <c r="BB6" i="4" s="1"/>
  <c r="AZ8" i="7"/>
  <c r="AX13" i="7"/>
  <c r="AX20" i="7" s="1"/>
  <c r="BC6" i="4" s="1"/>
  <c r="AY21" i="6" l="1"/>
  <c r="AY30" i="9" s="1"/>
  <c r="AY15" i="9"/>
  <c r="AY13" i="9"/>
  <c r="BL22" i="6"/>
  <c r="BK24" i="9"/>
  <c r="AY13" i="7"/>
  <c r="AY20" i="7" s="1"/>
  <c r="BD6" i="4" s="1"/>
  <c r="BH26" i="6"/>
  <c r="BE16" i="9"/>
  <c r="BJ14" i="4"/>
  <c r="BF24" i="6"/>
  <c r="BF25" i="9" s="1"/>
  <c r="AZ12" i="7"/>
  <c r="BA12" i="9"/>
  <c r="AZ11" i="9"/>
  <c r="BA18" i="9"/>
  <c r="AZ17" i="9"/>
  <c r="AZ19" i="9" s="1"/>
  <c r="AZ9" i="7"/>
  <c r="BA8" i="7"/>
  <c r="AZ21" i="6" l="1"/>
  <c r="AZ30" i="9" s="1"/>
  <c r="AZ15" i="9"/>
  <c r="AZ13" i="9"/>
  <c r="BM22" i="6"/>
  <c r="BL24" i="9"/>
  <c r="AZ13" i="7"/>
  <c r="AZ20" i="7" s="1"/>
  <c r="BE6" i="4" s="1"/>
  <c r="BI26" i="6"/>
  <c r="BG24" i="6"/>
  <c r="BG25" i="9" s="1"/>
  <c r="BK14" i="4"/>
  <c r="K14" i="4" s="1"/>
  <c r="H24" i="6"/>
  <c r="BB12" i="9"/>
  <c r="BA11" i="9"/>
  <c r="BB18" i="9"/>
  <c r="BA17" i="9"/>
  <c r="BA19" i="9" s="1"/>
  <c r="BA9" i="7"/>
  <c r="BB8" i="7"/>
  <c r="BA12" i="7"/>
  <c r="BA21" i="6" l="1"/>
  <c r="BA30" i="9" s="1"/>
  <c r="BA15" i="9"/>
  <c r="BA13" i="9"/>
  <c r="BM24" i="9"/>
  <c r="BN22" i="6"/>
  <c r="BA13" i="7"/>
  <c r="BA20" i="7" s="1"/>
  <c r="BF6" i="4" s="1"/>
  <c r="BJ26" i="6"/>
  <c r="BB12" i="7"/>
  <c r="BF16" i="9"/>
  <c r="O10" i="1"/>
  <c r="BH24" i="6"/>
  <c r="BH25" i="9" s="1"/>
  <c r="BL14" i="4"/>
  <c r="H24" i="9"/>
  <c r="BC12" i="9"/>
  <c r="BB11" i="9"/>
  <c r="BC18" i="9"/>
  <c r="BB17" i="9"/>
  <c r="BB19" i="9" s="1"/>
  <c r="BB9" i="7"/>
  <c r="BC8" i="7"/>
  <c r="BB21" i="6" l="1"/>
  <c r="BB30" i="9" s="1"/>
  <c r="BB15" i="9"/>
  <c r="BB13" i="9"/>
  <c r="BO22" i="6"/>
  <c r="BN24" i="9"/>
  <c r="BB13" i="7"/>
  <c r="BB20" i="7" s="1"/>
  <c r="BG6" i="4" s="1"/>
  <c r="BK26" i="6"/>
  <c r="BI24" i="6"/>
  <c r="BI25" i="9" s="1"/>
  <c r="BM14" i="4"/>
  <c r="BC12" i="7"/>
  <c r="BG16" i="9"/>
  <c r="BH16" i="9"/>
  <c r="BD12" i="9"/>
  <c r="BC11" i="9"/>
  <c r="BD18" i="9"/>
  <c r="BC17" i="9"/>
  <c r="BC19" i="9" s="1"/>
  <c r="BC9" i="7"/>
  <c r="BD8" i="7"/>
  <c r="BC21" i="6" l="1"/>
  <c r="BC30" i="9" s="1"/>
  <c r="BC15" i="9"/>
  <c r="BC13" i="9"/>
  <c r="BO24" i="9"/>
  <c r="BP22" i="6"/>
  <c r="BC13" i="7"/>
  <c r="BC20" i="7" s="1"/>
  <c r="BH6" i="4" s="1"/>
  <c r="BL26" i="6"/>
  <c r="BJ24" i="6"/>
  <c r="BJ25" i="9" s="1"/>
  <c r="BN14" i="4"/>
  <c r="BI16" i="9"/>
  <c r="BD12" i="7"/>
  <c r="BD11" i="9"/>
  <c r="BE12" i="9"/>
  <c r="BE18" i="9"/>
  <c r="BD17" i="9"/>
  <c r="BD19" i="9" s="1"/>
  <c r="BD9" i="7"/>
  <c r="BE8" i="7"/>
  <c r="BD21" i="6" l="1"/>
  <c r="BD30" i="9" s="1"/>
  <c r="BD15" i="9"/>
  <c r="BD13" i="9"/>
  <c r="BP24" i="9"/>
  <c r="BQ22" i="6"/>
  <c r="BD13" i="7"/>
  <c r="BD20" i="7" s="1"/>
  <c r="BI6" i="4" s="1"/>
  <c r="BM26" i="6"/>
  <c r="BJ16" i="9"/>
  <c r="BE12" i="7"/>
  <c r="BO14" i="4"/>
  <c r="BK24" i="6"/>
  <c r="BK25" i="9" s="1"/>
  <c r="BF18" i="9"/>
  <c r="BE17" i="9"/>
  <c r="BE19" i="9" s="1"/>
  <c r="BF12" i="9"/>
  <c r="BE11" i="9"/>
  <c r="BE9" i="7"/>
  <c r="H7" i="7"/>
  <c r="AJ11" i="10" s="1"/>
  <c r="H6" i="7"/>
  <c r="AJ10" i="10" s="1"/>
  <c r="BE21" i="6" l="1"/>
  <c r="BE30" i="9" s="1"/>
  <c r="BE15" i="9"/>
  <c r="BE13" i="9"/>
  <c r="BR22" i="6"/>
  <c r="BQ24" i="9"/>
  <c r="BE13" i="7"/>
  <c r="BE20" i="7" s="1"/>
  <c r="BJ6" i="4" s="1"/>
  <c r="BN26" i="6"/>
  <c r="BL24" i="6"/>
  <c r="BL25" i="9" s="1"/>
  <c r="BP14" i="4"/>
  <c r="H18" i="9"/>
  <c r="Q9" i="1"/>
  <c r="P10" i="1"/>
  <c r="H12" i="9"/>
  <c r="BF8" i="7"/>
  <c r="BF9" i="7" s="1"/>
  <c r="BF12" i="7"/>
  <c r="BG8" i="7"/>
  <c r="Q10" i="1"/>
  <c r="BF21" i="6" l="1"/>
  <c r="BF30" i="9" s="1"/>
  <c r="H30" i="9" s="1"/>
  <c r="BR24" i="9"/>
  <c r="I22" i="6"/>
  <c r="H12" i="7"/>
  <c r="AJ12" i="10" s="1"/>
  <c r="BO26" i="6"/>
  <c r="BK16" i="9"/>
  <c r="BM24" i="6"/>
  <c r="BM25" i="9" s="1"/>
  <c r="BQ14" i="4"/>
  <c r="BL16" i="9"/>
  <c r="P9" i="1"/>
  <c r="BG17" i="9"/>
  <c r="BH18" i="9"/>
  <c r="BH12" i="9"/>
  <c r="BG11" i="9"/>
  <c r="BF17" i="9"/>
  <c r="BF19" i="9" s="1"/>
  <c r="H19" i="9" s="1"/>
  <c r="BG18" i="9"/>
  <c r="H16" i="9"/>
  <c r="BF11" i="9"/>
  <c r="BG12" i="9"/>
  <c r="H10" i="9"/>
  <c r="H8" i="7"/>
  <c r="H9" i="7" s="1"/>
  <c r="BH8" i="7"/>
  <c r="BF13" i="7"/>
  <c r="BG12" i="7"/>
  <c r="BG9" i="7"/>
  <c r="BG21" i="6" l="1"/>
  <c r="BG30" i="9" s="1"/>
  <c r="BG19" i="9"/>
  <c r="BG15" i="9"/>
  <c r="BG13" i="9"/>
  <c r="BF15" i="9"/>
  <c r="BF13" i="9"/>
  <c r="H13" i="9" s="1"/>
  <c r="H21" i="6"/>
  <c r="BG13" i="7"/>
  <c r="BG20" i="7" s="1"/>
  <c r="BL6" i="4" s="1"/>
  <c r="BP26" i="6"/>
  <c r="BM16" i="9"/>
  <c r="BH12" i="7"/>
  <c r="BN24" i="6"/>
  <c r="BN25" i="9" s="1"/>
  <c r="BR14" i="4"/>
  <c r="H17" i="9"/>
  <c r="BI18" i="9"/>
  <c r="BH17" i="9"/>
  <c r="BH19" i="9" s="1"/>
  <c r="BI12" i="9"/>
  <c r="BH11" i="9"/>
  <c r="H11" i="9"/>
  <c r="BH9" i="7"/>
  <c r="BF20" i="7"/>
  <c r="BK6" i="4" s="1"/>
  <c r="H13" i="7"/>
  <c r="BI8" i="7"/>
  <c r="BH21" i="6" l="1"/>
  <c r="BH30" i="9" s="1"/>
  <c r="BH15" i="9"/>
  <c r="BH13" i="9"/>
  <c r="BH13" i="7"/>
  <c r="BH20" i="7" s="1"/>
  <c r="BM6" i="4" s="1"/>
  <c r="BQ26" i="6"/>
  <c r="BO24" i="6"/>
  <c r="BO25" i="9" s="1"/>
  <c r="BS14" i="4"/>
  <c r="BI12" i="7"/>
  <c r="BN16" i="9"/>
  <c r="BJ12" i="9"/>
  <c r="BI11" i="9"/>
  <c r="BJ18" i="9"/>
  <c r="BI17" i="9"/>
  <c r="BI19" i="9" s="1"/>
  <c r="H15" i="9"/>
  <c r="BI9" i="7"/>
  <c r="H20" i="7"/>
  <c r="BJ8" i="7"/>
  <c r="BI21" i="6" l="1"/>
  <c r="BI30" i="9" s="1"/>
  <c r="BI15" i="9"/>
  <c r="BI13" i="9"/>
  <c r="BI13" i="7"/>
  <c r="BI20" i="7" s="1"/>
  <c r="BN6" i="4" s="1"/>
  <c r="BR26" i="6"/>
  <c r="BO16" i="9"/>
  <c r="BP24" i="6"/>
  <c r="BP25" i="9" s="1"/>
  <c r="BT14" i="4"/>
  <c r="BK12" i="9"/>
  <c r="BJ11" i="9"/>
  <c r="BK18" i="9"/>
  <c r="BJ17" i="9"/>
  <c r="BJ19" i="9" s="1"/>
  <c r="BJ9" i="7"/>
  <c r="BJ12" i="7"/>
  <c r="BJ21" i="6" l="1"/>
  <c r="BJ30" i="9" s="1"/>
  <c r="BJ15" i="9"/>
  <c r="BJ13" i="9"/>
  <c r="I26" i="6"/>
  <c r="BQ24" i="6"/>
  <c r="BQ25" i="9" s="1"/>
  <c r="BU14" i="4"/>
  <c r="BP16" i="9"/>
  <c r="BK12" i="7"/>
  <c r="BL18" i="9"/>
  <c r="BK17" i="9"/>
  <c r="BK19" i="9" s="1"/>
  <c r="BL12" i="9"/>
  <c r="BK11" i="9"/>
  <c r="BL8" i="7"/>
  <c r="BK8" i="7"/>
  <c r="BJ13" i="7"/>
  <c r="BK21" i="6" l="1"/>
  <c r="BK30" i="9" s="1"/>
  <c r="BK15" i="9"/>
  <c r="BK13" i="9"/>
  <c r="BR24" i="6"/>
  <c r="BR25" i="9" s="1"/>
  <c r="BV14" i="4"/>
  <c r="BQ16" i="9"/>
  <c r="BM18" i="9"/>
  <c r="BL17" i="9"/>
  <c r="BL19" i="9" s="1"/>
  <c r="BL11" i="9"/>
  <c r="BM12" i="9"/>
  <c r="BL9" i="7"/>
  <c r="BL12" i="7"/>
  <c r="BM8" i="7"/>
  <c r="BJ20" i="7"/>
  <c r="BO6" i="4" s="1"/>
  <c r="BK13" i="7"/>
  <c r="BK20" i="7" s="1"/>
  <c r="BP6" i="4" s="1"/>
  <c r="BK9" i="7"/>
  <c r="BL21" i="6" l="1"/>
  <c r="BL30" i="9" s="1"/>
  <c r="BL15" i="9"/>
  <c r="BL13" i="9"/>
  <c r="BW14" i="4"/>
  <c r="M14" i="4" s="1"/>
  <c r="I24" i="6"/>
  <c r="BM12" i="7"/>
  <c r="BN18" i="9"/>
  <c r="BM17" i="9"/>
  <c r="BM19" i="9" s="1"/>
  <c r="BN12" i="9"/>
  <c r="BM11" i="9"/>
  <c r="BM9" i="7"/>
  <c r="BN8" i="7"/>
  <c r="BL13" i="7"/>
  <c r="BL20" i="7" s="1"/>
  <c r="BQ6" i="4" s="1"/>
  <c r="BM21" i="6" l="1"/>
  <c r="BM30" i="9" s="1"/>
  <c r="BM15" i="9"/>
  <c r="BM13" i="9"/>
  <c r="BM13" i="7"/>
  <c r="BM20" i="7" s="1"/>
  <c r="BR6" i="4" s="1"/>
  <c r="BR16" i="9"/>
  <c r="S10" i="1"/>
  <c r="I24" i="9"/>
  <c r="BN12" i="7"/>
  <c r="BN11" i="9"/>
  <c r="BO12" i="9"/>
  <c r="BO18" i="9"/>
  <c r="BN17" i="9"/>
  <c r="BN19" i="9" s="1"/>
  <c r="BN9" i="7"/>
  <c r="BO8" i="7"/>
  <c r="BN21" i="6" l="1"/>
  <c r="BN30" i="9" s="1"/>
  <c r="BN15" i="9"/>
  <c r="BN13" i="9"/>
  <c r="BN13" i="7"/>
  <c r="BN20" i="7" s="1"/>
  <c r="BS6" i="4" s="1"/>
  <c r="BO12" i="7"/>
  <c r="BP18" i="9"/>
  <c r="BO17" i="9"/>
  <c r="BO19" i="9" s="1"/>
  <c r="BP12" i="9"/>
  <c r="BO11" i="9"/>
  <c r="BO9" i="7"/>
  <c r="BP8" i="7"/>
  <c r="BO21" i="6" l="1"/>
  <c r="BO30" i="9" s="1"/>
  <c r="BO15" i="9"/>
  <c r="BO13" i="9"/>
  <c r="BO13" i="7"/>
  <c r="BO20" i="7" s="1"/>
  <c r="BT6" i="4" s="1"/>
  <c r="BP12" i="7"/>
  <c r="BQ18" i="9"/>
  <c r="BP17" i="9"/>
  <c r="BP19" i="9" s="1"/>
  <c r="BQ12" i="9"/>
  <c r="BP11" i="9"/>
  <c r="BP9" i="7"/>
  <c r="BQ8" i="7"/>
  <c r="BP21" i="6" l="1"/>
  <c r="BP30" i="9" s="1"/>
  <c r="BP15" i="9"/>
  <c r="BP13" i="9"/>
  <c r="BP13" i="7"/>
  <c r="BP20" i="7" s="1"/>
  <c r="BU6" i="4" s="1"/>
  <c r="BQ12" i="7"/>
  <c r="BR12" i="9"/>
  <c r="BQ11" i="9"/>
  <c r="U10" i="1"/>
  <c r="BR18" i="9"/>
  <c r="BQ17" i="9"/>
  <c r="BQ19" i="9" s="1"/>
  <c r="BQ9" i="7"/>
  <c r="I7" i="7"/>
  <c r="AK11" i="10" s="1"/>
  <c r="I6" i="7"/>
  <c r="AK10" i="10" s="1"/>
  <c r="BQ21" i="6" l="1"/>
  <c r="BQ30" i="9" s="1"/>
  <c r="BQ15" i="9"/>
  <c r="BQ13" i="9"/>
  <c r="BQ13" i="7"/>
  <c r="BQ20" i="7" s="1"/>
  <c r="BV6" i="4" s="1"/>
  <c r="T10" i="1"/>
  <c r="BR17" i="9"/>
  <c r="BR19" i="9" s="1"/>
  <c r="I19" i="9" s="1"/>
  <c r="I16" i="9"/>
  <c r="I18" i="9"/>
  <c r="U9" i="1"/>
  <c r="I12" i="9"/>
  <c r="BR8" i="7"/>
  <c r="BR9" i="7" s="1"/>
  <c r="BR12" i="7"/>
  <c r="BR21" i="6" l="1"/>
  <c r="BR30" i="9" s="1"/>
  <c r="I30" i="9" s="1"/>
  <c r="I12" i="7"/>
  <c r="AK12" i="10" s="1"/>
  <c r="I8" i="7"/>
  <c r="I9" i="7" s="1"/>
  <c r="BR11" i="9"/>
  <c r="I10" i="9"/>
  <c r="T9" i="1"/>
  <c r="I17" i="9"/>
  <c r="BR13" i="7"/>
  <c r="BR15" i="9" l="1"/>
  <c r="BR13" i="9"/>
  <c r="I13" i="9" s="1"/>
  <c r="I21" i="6"/>
  <c r="I11" i="9"/>
  <c r="BR20" i="7"/>
  <c r="BW6" i="4" s="1"/>
  <c r="I13" i="7"/>
  <c r="I15" i="9" l="1"/>
  <c r="I20" i="7"/>
  <c r="L12" i="9" l="1"/>
  <c r="K11" i="9"/>
  <c r="K15" i="9" l="1"/>
  <c r="K13" i="9"/>
  <c r="L15" i="9"/>
  <c r="L13" i="9"/>
  <c r="E11" i="9"/>
  <c r="E12" i="9"/>
  <c r="H10" i="1"/>
  <c r="I9" i="1"/>
  <c r="H9" i="1"/>
  <c r="R23" i="9"/>
  <c r="T23" i="9"/>
  <c r="L23" i="9"/>
  <c r="O23" i="9"/>
  <c r="S23" i="9"/>
  <c r="P23" i="9"/>
  <c r="M23" i="9"/>
  <c r="N23" i="9"/>
  <c r="Q23" i="9"/>
  <c r="K14" i="9" l="1"/>
  <c r="L14" i="9" s="1"/>
  <c r="M14" i="9" s="1"/>
  <c r="N14" i="9" s="1"/>
  <c r="O14" i="9" s="1"/>
  <c r="P14" i="9" s="1"/>
  <c r="Q14" i="9" s="1"/>
  <c r="R14" i="9" s="1"/>
  <c r="S14" i="9" s="1"/>
  <c r="T14" i="9" s="1"/>
  <c r="U14" i="9" s="1"/>
  <c r="V14" i="9" s="1"/>
  <c r="E13" i="9"/>
  <c r="K23" i="9"/>
  <c r="I10" i="1"/>
  <c r="E16" i="9"/>
  <c r="K17" i="9"/>
  <c r="K6" i="6" l="1"/>
  <c r="K19" i="9"/>
  <c r="K20" i="9" s="1"/>
  <c r="K32" i="9"/>
  <c r="K33" i="9" s="1"/>
  <c r="K34" i="9" s="1"/>
  <c r="W14" i="9"/>
  <c r="X14" i="9" s="1"/>
  <c r="Y14" i="9" s="1"/>
  <c r="Z14" i="9" s="1"/>
  <c r="AA14" i="9" s="1"/>
  <c r="AB14" i="9" s="1"/>
  <c r="AC14" i="9" s="1"/>
  <c r="AD14" i="9" s="1"/>
  <c r="AE14" i="9" s="1"/>
  <c r="AF14" i="9" s="1"/>
  <c r="AG14" i="9" s="1"/>
  <c r="AH14" i="9" s="1"/>
  <c r="AI14" i="9" s="1"/>
  <c r="AJ14" i="9" s="1"/>
  <c r="AK14" i="9" s="1"/>
  <c r="AL14" i="9" s="1"/>
  <c r="AM14" i="9" s="1"/>
  <c r="AN14" i="9" s="1"/>
  <c r="AO14" i="9" s="1"/>
  <c r="AP14" i="9" s="1"/>
  <c r="AQ14" i="9" s="1"/>
  <c r="AR14" i="9" s="1"/>
  <c r="AS14" i="9" s="1"/>
  <c r="AT14" i="9" s="1"/>
  <c r="AU14" i="9" s="1"/>
  <c r="AV14" i="9" s="1"/>
  <c r="AW14" i="9" s="1"/>
  <c r="AX14" i="9" s="1"/>
  <c r="AY14" i="9" s="1"/>
  <c r="AZ14" i="9" s="1"/>
  <c r="BA14" i="9" s="1"/>
  <c r="BB14" i="9" s="1"/>
  <c r="BC14" i="9" s="1"/>
  <c r="BD14" i="9" s="1"/>
  <c r="BE14" i="9" s="1"/>
  <c r="BF14" i="9" s="1"/>
  <c r="BG14" i="9" s="1"/>
  <c r="BH14" i="9" s="1"/>
  <c r="BI14" i="9" s="1"/>
  <c r="BJ14" i="9" s="1"/>
  <c r="BK14" i="9" s="1"/>
  <c r="BL14" i="9" s="1"/>
  <c r="BM14" i="9" s="1"/>
  <c r="BN14" i="9" s="1"/>
  <c r="BO14" i="9" s="1"/>
  <c r="BP14" i="9" s="1"/>
  <c r="BQ14" i="9" s="1"/>
  <c r="BR14" i="9" s="1"/>
  <c r="E14" i="9"/>
  <c r="L6" i="6"/>
  <c r="E18" i="9"/>
  <c r="E17" i="9"/>
  <c r="E15" i="9"/>
  <c r="X7" i="4"/>
  <c r="X8" i="4" s="1"/>
  <c r="W7" i="4"/>
  <c r="W8" i="4" s="1"/>
  <c r="R7" i="4"/>
  <c r="R8" i="4" s="1"/>
  <c r="U7" i="4"/>
  <c r="U8" i="4" s="1"/>
  <c r="V7" i="4"/>
  <c r="V8" i="4" s="1"/>
  <c r="Y7" i="4"/>
  <c r="Y8" i="4" s="1"/>
  <c r="S7" i="4"/>
  <c r="S8" i="4" s="1"/>
  <c r="T7" i="4"/>
  <c r="T8" i="4" s="1"/>
  <c r="Q7" i="4"/>
  <c r="Q8" i="4" s="1"/>
  <c r="K37" i="9" l="1"/>
  <c r="K40" i="9" s="1"/>
  <c r="K29" i="9"/>
  <c r="K20" i="6" s="1"/>
  <c r="L20" i="9"/>
  <c r="M20" i="9" s="1"/>
  <c r="E19" i="9"/>
  <c r="M6" i="6"/>
  <c r="N20" i="9" l="1"/>
  <c r="K7" i="6"/>
  <c r="N6" i="6"/>
  <c r="K23" i="6"/>
  <c r="L29" i="9"/>
  <c r="P7" i="4"/>
  <c r="V23" i="9"/>
  <c r="L7" i="6" l="1"/>
  <c r="L20" i="6"/>
  <c r="O20" i="9"/>
  <c r="O6" i="6"/>
  <c r="M29" i="9"/>
  <c r="U23" i="9"/>
  <c r="P8" i="4"/>
  <c r="M7" i="6" l="1"/>
  <c r="M20" i="6"/>
  <c r="P20" i="9"/>
  <c r="P6" i="6"/>
  <c r="E23" i="9"/>
  <c r="N29" i="9"/>
  <c r="W23" i="9"/>
  <c r="AA7" i="4"/>
  <c r="AA8" i="4" s="1"/>
  <c r="X23" i="9"/>
  <c r="Q20" i="9" l="1"/>
  <c r="N7" i="6"/>
  <c r="N20" i="6"/>
  <c r="Q6" i="6"/>
  <c r="O29" i="9"/>
  <c r="Y23" i="9"/>
  <c r="O7" i="6" l="1"/>
  <c r="O20" i="6"/>
  <c r="R20" i="9"/>
  <c r="R6" i="6"/>
  <c r="K42" i="9"/>
  <c r="P29" i="9"/>
  <c r="K28" i="6"/>
  <c r="AC7" i="4"/>
  <c r="AC8" i="4" s="1"/>
  <c r="Z7" i="4"/>
  <c r="E7" i="4" s="1"/>
  <c r="E6" i="4"/>
  <c r="Z23" i="9"/>
  <c r="P7" i="6" l="1"/>
  <c r="P20" i="6"/>
  <c r="S20" i="9"/>
  <c r="S6" i="6"/>
  <c r="Q29" i="9"/>
  <c r="Z8" i="4"/>
  <c r="E8" i="4" s="1"/>
  <c r="AB7" i="4"/>
  <c r="AD7" i="4"/>
  <c r="AD8" i="4" s="1"/>
  <c r="Q7" i="6" l="1"/>
  <c r="Q20" i="6"/>
  <c r="T20" i="9"/>
  <c r="T6" i="6"/>
  <c r="L5" i="9"/>
  <c r="AA23" i="9"/>
  <c r="R29" i="9"/>
  <c r="AE7" i="4"/>
  <c r="AE8" i="4" s="1"/>
  <c r="AB8" i="4"/>
  <c r="AB23" i="9"/>
  <c r="R7" i="6" l="1"/>
  <c r="R20" i="6"/>
  <c r="U20" i="9"/>
  <c r="U6" i="6"/>
  <c r="S29" i="9"/>
  <c r="AF7" i="4"/>
  <c r="AC23" i="9"/>
  <c r="S7" i="6" l="1"/>
  <c r="S20" i="6"/>
  <c r="V20" i="9"/>
  <c r="L21" i="7"/>
  <c r="K25" i="6"/>
  <c r="K5" i="6"/>
  <c r="K9" i="6" s="1"/>
  <c r="V6" i="6"/>
  <c r="T29" i="9"/>
  <c r="AG7" i="4"/>
  <c r="AG8" i="4" s="1"/>
  <c r="AF8" i="4"/>
  <c r="AD23" i="9"/>
  <c r="W20" i="9" l="1"/>
  <c r="T7" i="6"/>
  <c r="T20" i="6"/>
  <c r="P12" i="4"/>
  <c r="W6" i="6"/>
  <c r="U29" i="9"/>
  <c r="L26" i="9"/>
  <c r="E6" i="6"/>
  <c r="AH7" i="4"/>
  <c r="AH8" i="4" s="1"/>
  <c r="AE23" i="9"/>
  <c r="U7" i="6" l="1"/>
  <c r="U20" i="6"/>
  <c r="X20" i="9"/>
  <c r="X6" i="6"/>
  <c r="V29" i="9"/>
  <c r="V20" i="6" s="1"/>
  <c r="E20" i="9"/>
  <c r="AI7" i="4"/>
  <c r="AI8" i="4" s="1"/>
  <c r="AF23" i="9"/>
  <c r="Y20" i="9" l="1"/>
  <c r="Y6" i="6"/>
  <c r="E29" i="9"/>
  <c r="V7" i="6"/>
  <c r="W29" i="9"/>
  <c r="AJ7" i="4"/>
  <c r="AJ8" i="4" s="1"/>
  <c r="AG23" i="9"/>
  <c r="W7" i="6" l="1"/>
  <c r="W20" i="6"/>
  <c r="Z20" i="9"/>
  <c r="Z6" i="6"/>
  <c r="X29" i="9"/>
  <c r="E7" i="6"/>
  <c r="AK7" i="4"/>
  <c r="AK8" i="4" s="1"/>
  <c r="X7" i="6" l="1"/>
  <c r="X20" i="6"/>
  <c r="AA20" i="9"/>
  <c r="AA6" i="6"/>
  <c r="AH23" i="9"/>
  <c r="Y29" i="9"/>
  <c r="AL7" i="4"/>
  <c r="AL8" i="4" s="1"/>
  <c r="Y7" i="6" l="1"/>
  <c r="Y20" i="6"/>
  <c r="AB20" i="9"/>
  <c r="AB6" i="6"/>
  <c r="AI23" i="9"/>
  <c r="Z29" i="9"/>
  <c r="F23" i="9"/>
  <c r="AJ23" i="9"/>
  <c r="AC20" i="9" l="1"/>
  <c r="Z7" i="6"/>
  <c r="Z20" i="6"/>
  <c r="AC6" i="6"/>
  <c r="AA29" i="9"/>
  <c r="AK23" i="9"/>
  <c r="AA7" i="6" l="1"/>
  <c r="AA20" i="6"/>
  <c r="AD20" i="9"/>
  <c r="AD6" i="6"/>
  <c r="N24" i="4"/>
  <c r="G27" i="1" s="1"/>
  <c r="AB29" i="9"/>
  <c r="AO7" i="4"/>
  <c r="AO8" i="4" s="1"/>
  <c r="AM7" i="4"/>
  <c r="G7" i="4" s="1"/>
  <c r="G6" i="4"/>
  <c r="AB7" i="6" l="1"/>
  <c r="AB20" i="6"/>
  <c r="AE20" i="9"/>
  <c r="AE6" i="6"/>
  <c r="AC29" i="9"/>
  <c r="AL23" i="9"/>
  <c r="AM8" i="4"/>
  <c r="G8" i="4" s="1"/>
  <c r="AP7" i="4"/>
  <c r="AP8" i="4" s="1"/>
  <c r="AN7" i="4"/>
  <c r="AM23" i="9"/>
  <c r="AC7" i="6" l="1"/>
  <c r="AC20" i="6"/>
  <c r="AF20" i="9"/>
  <c r="AF6" i="6"/>
  <c r="AD29" i="9"/>
  <c r="AN8" i="4"/>
  <c r="AN23" i="9"/>
  <c r="AG20" i="9" l="1"/>
  <c r="AD7" i="6"/>
  <c r="AD20" i="6"/>
  <c r="AG6" i="6"/>
  <c r="AE29" i="9"/>
  <c r="AR7" i="4"/>
  <c r="AR8" i="4" s="1"/>
  <c r="AO23" i="9"/>
  <c r="AE7" i="6" l="1"/>
  <c r="AE20" i="6"/>
  <c r="AH20" i="9"/>
  <c r="AH6" i="6"/>
  <c r="F14" i="9"/>
  <c r="AF29" i="9"/>
  <c r="AS7" i="4"/>
  <c r="AS8" i="4" s="1"/>
  <c r="AQ7" i="4"/>
  <c r="AP23" i="9"/>
  <c r="AI20" i="9" l="1"/>
  <c r="AF7" i="6"/>
  <c r="AF20" i="6"/>
  <c r="AI6" i="6"/>
  <c r="AG29" i="9"/>
  <c r="F6" i="6"/>
  <c r="AQ8" i="4"/>
  <c r="AT7" i="4"/>
  <c r="AT8" i="4" s="1"/>
  <c r="AQ23" i="9"/>
  <c r="AG7" i="6" l="1"/>
  <c r="AG20" i="6"/>
  <c r="AJ20" i="9"/>
  <c r="AJ6" i="6"/>
  <c r="AH29" i="9"/>
  <c r="AH20" i="6" s="1"/>
  <c r="F20" i="9"/>
  <c r="AU7" i="4"/>
  <c r="AU8" i="4" s="1"/>
  <c r="AR23" i="9"/>
  <c r="AK20" i="9" l="1"/>
  <c r="F29" i="9"/>
  <c r="AH7" i="6"/>
  <c r="AK6" i="6"/>
  <c r="AI29" i="9"/>
  <c r="AV7" i="4"/>
  <c r="AV8" i="4" s="1"/>
  <c r="AS23" i="9"/>
  <c r="AI7" i="6" l="1"/>
  <c r="AI20" i="6"/>
  <c r="AL20" i="9"/>
  <c r="AL6" i="6"/>
  <c r="AJ29" i="9"/>
  <c r="F7" i="6"/>
  <c r="AW7" i="4"/>
  <c r="AW8" i="4" s="1"/>
  <c r="AJ7" i="6" l="1"/>
  <c r="AJ20" i="6"/>
  <c r="AM20" i="9"/>
  <c r="AM6" i="6"/>
  <c r="AT23" i="9"/>
  <c r="AK29" i="9"/>
  <c r="AX7" i="4"/>
  <c r="AX8" i="4" s="1"/>
  <c r="AN20" i="9" l="1"/>
  <c r="AK7" i="6"/>
  <c r="AK20" i="6"/>
  <c r="AN6" i="6"/>
  <c r="AL29" i="9"/>
  <c r="AU23" i="9"/>
  <c r="G23" i="9"/>
  <c r="AV23" i="9"/>
  <c r="AL7" i="6" l="1"/>
  <c r="AL20" i="6"/>
  <c r="AO20" i="9"/>
  <c r="AO6" i="6"/>
  <c r="AM29" i="9"/>
  <c r="AW23" i="9"/>
  <c r="AM7" i="6" l="1"/>
  <c r="AM20" i="6"/>
  <c r="AP20" i="9"/>
  <c r="AP6" i="6"/>
  <c r="AN29" i="9"/>
  <c r="AY7" i="4"/>
  <c r="I7" i="4" s="1"/>
  <c r="I6" i="4"/>
  <c r="BA7" i="4"/>
  <c r="BA8" i="4" s="1"/>
  <c r="AX23" i="9"/>
  <c r="AQ20" i="9" l="1"/>
  <c r="AN7" i="6"/>
  <c r="AN20" i="6"/>
  <c r="AQ6" i="6"/>
  <c r="AO29" i="9"/>
  <c r="AZ7" i="4"/>
  <c r="AZ8" i="4" s="1"/>
  <c r="BB7" i="4"/>
  <c r="BB8" i="4" s="1"/>
  <c r="AY8" i="4"/>
  <c r="AY23" i="9"/>
  <c r="AO7" i="6" l="1"/>
  <c r="AO20" i="6"/>
  <c r="AR20" i="9"/>
  <c r="AR6" i="6"/>
  <c r="AP29" i="9"/>
  <c r="I8" i="4"/>
  <c r="BC7" i="4"/>
  <c r="BC8" i="4" s="1"/>
  <c r="AZ23" i="9"/>
  <c r="AP7" i="6" l="1"/>
  <c r="AP20" i="6"/>
  <c r="AS20" i="9"/>
  <c r="AS6" i="6"/>
  <c r="AQ29" i="9"/>
  <c r="BD7" i="4"/>
  <c r="BA23" i="9"/>
  <c r="AQ7" i="6" l="1"/>
  <c r="AQ20" i="6"/>
  <c r="AT20" i="9"/>
  <c r="AT6" i="6"/>
  <c r="G14" i="9"/>
  <c r="AR29" i="9"/>
  <c r="BE7" i="4"/>
  <c r="BE8" i="4" s="1"/>
  <c r="BD8" i="4"/>
  <c r="BB23" i="9"/>
  <c r="AR7" i="6" l="1"/>
  <c r="AR20" i="6"/>
  <c r="AU20" i="9"/>
  <c r="AU6" i="6"/>
  <c r="AS29" i="9"/>
  <c r="G6" i="6"/>
  <c r="BF7" i="4"/>
  <c r="BF8" i="4" s="1"/>
  <c r="BC23" i="9"/>
  <c r="AS7" i="6" l="1"/>
  <c r="AS20" i="6"/>
  <c r="AV20" i="9"/>
  <c r="AV6" i="6"/>
  <c r="G20" i="9"/>
  <c r="AT29" i="9"/>
  <c r="AT20" i="6" s="1"/>
  <c r="BG7" i="4"/>
  <c r="BG8" i="4" s="1"/>
  <c r="BD23" i="9"/>
  <c r="AW20" i="9" l="1"/>
  <c r="AW6" i="6"/>
  <c r="G29" i="9"/>
  <c r="AT7" i="6"/>
  <c r="AU29" i="9"/>
  <c r="BH7" i="4"/>
  <c r="BH8" i="4" s="1"/>
  <c r="BE23" i="9"/>
  <c r="AU7" i="6" l="1"/>
  <c r="AU20" i="6"/>
  <c r="AX20" i="9"/>
  <c r="AX6" i="6"/>
  <c r="AV29" i="9"/>
  <c r="G7" i="6"/>
  <c r="BI7" i="4"/>
  <c r="BI8" i="4" s="1"/>
  <c r="AV7" i="6" l="1"/>
  <c r="AV20" i="6"/>
  <c r="AY20" i="9"/>
  <c r="AY6" i="6"/>
  <c r="AW29" i="9"/>
  <c r="BF23" i="9"/>
  <c r="BJ7" i="4"/>
  <c r="BJ8" i="4" s="1"/>
  <c r="AW7" i="6" l="1"/>
  <c r="AW20" i="6"/>
  <c r="AZ20" i="9"/>
  <c r="AZ6" i="6"/>
  <c r="H23" i="9"/>
  <c r="BG23" i="9"/>
  <c r="AX29" i="9"/>
  <c r="BH23" i="9"/>
  <c r="AX7" i="6" l="1"/>
  <c r="AX20" i="6"/>
  <c r="BA20" i="9"/>
  <c r="BA6" i="6"/>
  <c r="AY29" i="9"/>
  <c r="BI23" i="9"/>
  <c r="AY7" i="6" l="1"/>
  <c r="AY20" i="6"/>
  <c r="BB20" i="9"/>
  <c r="BB6" i="6"/>
  <c r="AZ29" i="9"/>
  <c r="BK7" i="4"/>
  <c r="K7" i="4" s="1"/>
  <c r="K6" i="4"/>
  <c r="BM7" i="4"/>
  <c r="BM8" i="4" s="1"/>
  <c r="BJ23" i="9"/>
  <c r="AZ7" i="6" l="1"/>
  <c r="AZ20" i="6"/>
  <c r="BC20" i="9"/>
  <c r="BC6" i="6"/>
  <c r="BA29" i="9"/>
  <c r="BK8" i="4"/>
  <c r="K8" i="4" s="1"/>
  <c r="BL7" i="4"/>
  <c r="BN7" i="4"/>
  <c r="BN8" i="4" s="1"/>
  <c r="BK23" i="9"/>
  <c r="BA7" i="6" l="1"/>
  <c r="BA20" i="6"/>
  <c r="BD20" i="9"/>
  <c r="BD6" i="6"/>
  <c r="BB29" i="9"/>
  <c r="BL8" i="4"/>
  <c r="BO7" i="4"/>
  <c r="BO8" i="4" s="1"/>
  <c r="BL23" i="9"/>
  <c r="BB7" i="6" l="1"/>
  <c r="BB20" i="6"/>
  <c r="BE20" i="9"/>
  <c r="BE6" i="6"/>
  <c r="BC29" i="9"/>
  <c r="BP7" i="4"/>
  <c r="BM23" i="9"/>
  <c r="BC7" i="6" l="1"/>
  <c r="BC20" i="6"/>
  <c r="BF20" i="9"/>
  <c r="BF6" i="6"/>
  <c r="H14" i="9"/>
  <c r="BD29" i="9"/>
  <c r="BP8" i="4"/>
  <c r="BQ7" i="4"/>
  <c r="BQ8" i="4" s="1"/>
  <c r="BN23" i="9"/>
  <c r="BD7" i="6" l="1"/>
  <c r="BD20" i="6"/>
  <c r="BG20" i="9"/>
  <c r="BG6" i="6"/>
  <c r="BE29" i="9"/>
  <c r="H6" i="6"/>
  <c r="BR7" i="4"/>
  <c r="BR8" i="4" s="1"/>
  <c r="BO23" i="9"/>
  <c r="BE7" i="6" l="1"/>
  <c r="BE20" i="6"/>
  <c r="BH20" i="9"/>
  <c r="BH6" i="6"/>
  <c r="BF29" i="9"/>
  <c r="BF20" i="6" s="1"/>
  <c r="H20" i="9"/>
  <c r="BS7" i="4"/>
  <c r="BS8" i="4" s="1"/>
  <c r="BP23" i="9"/>
  <c r="BI20" i="9" l="1"/>
  <c r="H29" i="9"/>
  <c r="BF7" i="6"/>
  <c r="BI6" i="6"/>
  <c r="BG29" i="9"/>
  <c r="BT7" i="4"/>
  <c r="BT8" i="4" s="1"/>
  <c r="BQ23" i="9"/>
  <c r="BG7" i="6" l="1"/>
  <c r="BG20" i="6"/>
  <c r="BJ20" i="9"/>
  <c r="BJ6" i="6"/>
  <c r="BH29" i="9"/>
  <c r="H7" i="6"/>
  <c r="BU7" i="4"/>
  <c r="BU8" i="4" s="1"/>
  <c r="BK20" i="9" l="1"/>
  <c r="BH7" i="6"/>
  <c r="BH20" i="6"/>
  <c r="BK6" i="6"/>
  <c r="BR23" i="9"/>
  <c r="BI29" i="9"/>
  <c r="BV7" i="4"/>
  <c r="BV8" i="4" s="1"/>
  <c r="BI7" i="6" l="1"/>
  <c r="BI20" i="6"/>
  <c r="BL20" i="9"/>
  <c r="BL6" i="6"/>
  <c r="BJ29" i="9"/>
  <c r="I23" i="9"/>
  <c r="BJ7" i="6" l="1"/>
  <c r="BJ20" i="6"/>
  <c r="BM20" i="9"/>
  <c r="BM6" i="6"/>
  <c r="BK29" i="9"/>
  <c r="BN20" i="9" l="1"/>
  <c r="BK7" i="6"/>
  <c r="BK20" i="6"/>
  <c r="BN6" i="6"/>
  <c r="BL29" i="9"/>
  <c r="BW7" i="4"/>
  <c r="M7" i="4" s="1"/>
  <c r="M6" i="4"/>
  <c r="BL7" i="6" l="1"/>
  <c r="BL20" i="6"/>
  <c r="BO20" i="9"/>
  <c r="BO6" i="6"/>
  <c r="BM29" i="9"/>
  <c r="BW8" i="4"/>
  <c r="BP20" i="9" l="1"/>
  <c r="BM7" i="6"/>
  <c r="BM20" i="6"/>
  <c r="BP6" i="6"/>
  <c r="BN29" i="9"/>
  <c r="M8" i="4"/>
  <c r="BN7" i="6" l="1"/>
  <c r="BN20" i="6"/>
  <c r="BQ20" i="9"/>
  <c r="BQ6" i="6"/>
  <c r="BO29" i="9"/>
  <c r="BR20" i="9" l="1"/>
  <c r="BO7" i="6"/>
  <c r="BO20" i="6"/>
  <c r="I14" i="9"/>
  <c r="BR6" i="6"/>
  <c r="I6" i="6" s="1"/>
  <c r="BP29" i="9"/>
  <c r="BP7" i="6" l="1"/>
  <c r="BP20" i="6"/>
  <c r="BQ29" i="9"/>
  <c r="BQ7" i="6" l="1"/>
  <c r="BQ20" i="6"/>
  <c r="I20" i="9"/>
  <c r="BR29" i="9"/>
  <c r="BR20" i="6" s="1"/>
  <c r="I29" i="9" l="1"/>
  <c r="BR7" i="6"/>
  <c r="I7" i="6" l="1"/>
  <c r="K19" i="6" l="1"/>
  <c r="P11" i="4"/>
  <c r="L22" i="7"/>
  <c r="K30" i="6" l="1"/>
  <c r="L23" i="7"/>
  <c r="L37" i="9" s="1"/>
  <c r="L27" i="9"/>
  <c r="L25" i="7" l="1"/>
  <c r="L24" i="7"/>
  <c r="L28" i="9" l="1"/>
  <c r="L26" i="7"/>
  <c r="L27" i="6" s="1"/>
  <c r="L32" i="9" l="1"/>
  <c r="L33" i="9" s="1"/>
  <c r="L34" i="9" s="1"/>
  <c r="L23" i="6"/>
  <c r="L39" i="9"/>
  <c r="L40" i="9" s="1"/>
  <c r="L28" i="6"/>
  <c r="L42" i="9" l="1"/>
  <c r="M5" i="9" l="1"/>
  <c r="L25" i="6" l="1"/>
  <c r="L5" i="6"/>
  <c r="L9" i="6" s="1"/>
  <c r="M21" i="7" l="1"/>
  <c r="M22" i="7" s="1"/>
  <c r="Q12" i="4"/>
  <c r="M26" i="9"/>
  <c r="L19" i="6" l="1"/>
  <c r="Q11" i="4"/>
  <c r="M23" i="7"/>
  <c r="M27" i="9"/>
  <c r="M37" i="9" l="1"/>
  <c r="M25" i="7"/>
  <c r="M26" i="7" s="1"/>
  <c r="M27" i="6" s="1"/>
  <c r="M24" i="7"/>
  <c r="M28" i="9" l="1"/>
  <c r="M32" i="9" l="1"/>
  <c r="M23" i="6"/>
  <c r="M39" i="9"/>
  <c r="M40" i="9" s="1"/>
  <c r="M28" i="6" l="1"/>
  <c r="M33" i="9" l="1"/>
  <c r="M34" i="9" s="1"/>
  <c r="M42" i="9" l="1"/>
  <c r="N5" i="9" l="1"/>
  <c r="M5" i="6" l="1"/>
  <c r="M9" i="6" s="1"/>
  <c r="R11" i="4" s="1"/>
  <c r="M25" i="6"/>
  <c r="N26" i="9"/>
  <c r="M19" i="6" l="1"/>
  <c r="R12" i="4"/>
  <c r="N21" i="7"/>
  <c r="N22" i="7" s="1"/>
  <c r="N27" i="9" s="1"/>
  <c r="N23" i="7" l="1"/>
  <c r="N37" i="9" l="1"/>
  <c r="N25" i="7"/>
  <c r="N26" i="7" s="1"/>
  <c r="N27" i="6" s="1"/>
  <c r="N24" i="7"/>
  <c r="N28" i="9" l="1"/>
  <c r="N32" i="9" l="1"/>
  <c r="N39" i="9"/>
  <c r="N40" i="9" s="1"/>
  <c r="N23" i="6"/>
  <c r="N28" i="6"/>
  <c r="N33" i="9" l="1"/>
  <c r="N34" i="9" s="1"/>
  <c r="N42" i="9" l="1"/>
  <c r="N25" i="6" l="1"/>
  <c r="O5" i="9"/>
  <c r="N5" i="6" l="1"/>
  <c r="N9" i="6" s="1"/>
  <c r="S11" i="4" s="1"/>
  <c r="O21" i="7"/>
  <c r="O22" i="7" s="1"/>
  <c r="O26" i="9"/>
  <c r="S12" i="4" l="1"/>
  <c r="N19" i="6"/>
  <c r="O23" i="7"/>
  <c r="O27" i="9"/>
  <c r="O37" i="9" l="1"/>
  <c r="O25" i="7"/>
  <c r="O24" i="7"/>
  <c r="O28" i="9" l="1"/>
  <c r="O26" i="7"/>
  <c r="O27" i="6" s="1"/>
  <c r="O32" i="9" l="1"/>
  <c r="O33" i="9" s="1"/>
  <c r="O23" i="6"/>
  <c r="O39" i="9"/>
  <c r="O40" i="9" s="1"/>
  <c r="O28" i="6"/>
  <c r="O34" i="9" l="1"/>
  <c r="O42" i="9"/>
  <c r="P5" i="9" l="1"/>
  <c r="O25" i="6" l="1"/>
  <c r="O5" i="6"/>
  <c r="O9" i="6" s="1"/>
  <c r="P21" i="7" l="1"/>
  <c r="O19" i="6"/>
  <c r="T11" i="4"/>
  <c r="T12" i="4"/>
  <c r="P26" i="9"/>
  <c r="P22" i="7" l="1"/>
  <c r="P23" i="7" l="1"/>
  <c r="P27" i="9"/>
  <c r="P37" i="9" l="1"/>
  <c r="P25" i="7"/>
  <c r="P24" i="7"/>
  <c r="P28" i="9" l="1"/>
  <c r="P26" i="7"/>
  <c r="P27" i="6" s="1"/>
  <c r="P32" i="9" l="1"/>
  <c r="P33" i="9" s="1"/>
  <c r="P39" i="9"/>
  <c r="P40" i="9" s="1"/>
  <c r="P23" i="6"/>
  <c r="P28" i="6"/>
  <c r="P34" i="9" l="1"/>
  <c r="P42" i="9"/>
  <c r="Q21" i="7"/>
  <c r="Q5" i="9" l="1"/>
  <c r="P5" i="6" l="1"/>
  <c r="Q26" i="9"/>
  <c r="P25" i="6"/>
  <c r="P9" i="6" l="1"/>
  <c r="U12" i="4"/>
  <c r="Q22" i="7"/>
  <c r="U11" i="4" l="1"/>
  <c r="P19" i="6"/>
  <c r="Q23" i="7"/>
  <c r="Q27" i="9"/>
  <c r="Q37" i="9" l="1"/>
  <c r="Q25" i="7"/>
  <c r="Q24" i="7"/>
  <c r="Q28" i="9" l="1"/>
  <c r="Q26" i="7"/>
  <c r="Q27" i="6" s="1"/>
  <c r="Q32" i="9" l="1"/>
  <c r="Q33" i="9" s="1"/>
  <c r="Q23" i="6"/>
  <c r="Q39" i="9"/>
  <c r="Q40" i="9" s="1"/>
  <c r="Q28" i="6"/>
  <c r="Q34" i="9" l="1"/>
  <c r="Q42" i="9"/>
  <c r="R21" i="7"/>
  <c r="R5" i="9" l="1"/>
  <c r="R26" i="9" l="1"/>
  <c r="R22" i="7"/>
  <c r="Q25" i="6"/>
  <c r="Q5" i="6"/>
  <c r="Q9" i="6" l="1"/>
  <c r="V12" i="4"/>
  <c r="R23" i="7"/>
  <c r="R27" i="9"/>
  <c r="R37" i="9" l="1"/>
  <c r="R25" i="7"/>
  <c r="Q19" i="6"/>
  <c r="V11" i="4"/>
  <c r="R24" i="7"/>
  <c r="R28" i="9" l="1"/>
  <c r="R26" i="7"/>
  <c r="R27" i="6" s="1"/>
  <c r="R32" i="9" l="1"/>
  <c r="R33" i="9" s="1"/>
  <c r="R39" i="9"/>
  <c r="R40" i="9" s="1"/>
  <c r="R23" i="6"/>
  <c r="R34" i="9" l="1"/>
  <c r="R42" i="9"/>
  <c r="R28" i="6"/>
  <c r="R25" i="6" l="1"/>
  <c r="S21" i="7"/>
  <c r="R5" i="6" l="1"/>
  <c r="R9" i="6" s="1"/>
  <c r="S5" i="9"/>
  <c r="S26" i="9"/>
  <c r="W12" i="4" l="1"/>
  <c r="S22" i="7"/>
  <c r="R19" i="6" l="1"/>
  <c r="W11" i="4"/>
  <c r="S23" i="7"/>
  <c r="S27" i="9"/>
  <c r="S37" i="9" l="1"/>
  <c r="S25" i="7"/>
  <c r="S24" i="7"/>
  <c r="S28" i="9" l="1"/>
  <c r="S26" i="7"/>
  <c r="S27" i="6" s="1"/>
  <c r="S28" i="6" s="1"/>
  <c r="S32" i="9" l="1"/>
  <c r="S33" i="9" s="1"/>
  <c r="S23" i="6"/>
  <c r="S39" i="9"/>
  <c r="S40" i="9" s="1"/>
  <c r="S34" i="9" l="1"/>
  <c r="S42" i="9"/>
  <c r="T21" i="7"/>
  <c r="T5" i="9" l="1"/>
  <c r="S25" i="6" l="1"/>
  <c r="T26" i="9"/>
  <c r="T22" i="7"/>
  <c r="S5" i="6"/>
  <c r="S9" i="6" l="1"/>
  <c r="X12" i="4"/>
  <c r="T23" i="7"/>
  <c r="T27" i="9"/>
  <c r="T37" i="9" l="1"/>
  <c r="T25" i="7"/>
  <c r="S19" i="6"/>
  <c r="X11" i="4"/>
  <c r="T24" i="7"/>
  <c r="T28" i="9" l="1"/>
  <c r="T26" i="7"/>
  <c r="T27" i="6" s="1"/>
  <c r="T32" i="9" l="1"/>
  <c r="T33" i="9" s="1"/>
  <c r="T23" i="6"/>
  <c r="T39" i="9"/>
  <c r="T40" i="9" s="1"/>
  <c r="T34" i="9" l="1"/>
  <c r="T42" i="9"/>
  <c r="T28" i="6"/>
  <c r="T25" i="6" l="1"/>
  <c r="U21" i="7"/>
  <c r="U5" i="9"/>
  <c r="U26" i="9" l="1"/>
  <c r="T5" i="6"/>
  <c r="T9" i="6" s="1"/>
  <c r="T19" i="6" s="1"/>
  <c r="Y12" i="4" l="1"/>
  <c r="Y11" i="4"/>
  <c r="U22" i="7" l="1"/>
  <c r="U23" i="7" l="1"/>
  <c r="U27" i="9"/>
  <c r="U37" i="9" l="1"/>
  <c r="U25" i="7"/>
  <c r="U24" i="7"/>
  <c r="U28" i="9" l="1"/>
  <c r="U26" i="7"/>
  <c r="U27" i="6" s="1"/>
  <c r="U32" i="9" l="1"/>
  <c r="U33" i="9" s="1"/>
  <c r="U23" i="6"/>
  <c r="U39" i="9"/>
  <c r="U40" i="9" s="1"/>
  <c r="U34" i="9" l="1"/>
  <c r="U42" i="9"/>
  <c r="U28" i="6"/>
  <c r="U25" i="6" l="1"/>
  <c r="V5" i="9"/>
  <c r="U5" i="6" l="1"/>
  <c r="U9" i="6" s="1"/>
  <c r="V21" i="7"/>
  <c r="E13" i="1" s="1"/>
  <c r="E25" i="9"/>
  <c r="V26" i="9"/>
  <c r="E26" i="9" l="1"/>
  <c r="Z12" i="4"/>
  <c r="U19" i="6"/>
  <c r="Z11" i="4"/>
  <c r="V22" i="7" l="1"/>
  <c r="E21" i="7"/>
  <c r="AG13" i="10" s="1"/>
  <c r="E22" i="7" l="1"/>
  <c r="V27" i="9"/>
  <c r="V23" i="7"/>
  <c r="V37" i="9" l="1"/>
  <c r="E37" i="9" s="1"/>
  <c r="V25" i="7"/>
  <c r="E25" i="7" s="1"/>
  <c r="E27" i="9"/>
  <c r="V24" i="7"/>
  <c r="E14" i="1"/>
  <c r="E23" i="7"/>
  <c r="E20" i="1" l="1"/>
  <c r="AG20" i="10"/>
  <c r="V28" i="9"/>
  <c r="E24" i="7"/>
  <c r="AG14" i="10"/>
  <c r="V26" i="7"/>
  <c r="V32" i="9" l="1"/>
  <c r="V33" i="9" s="1"/>
  <c r="V39" i="9"/>
  <c r="E39" i="9" s="1"/>
  <c r="E22" i="1" s="1"/>
  <c r="E26" i="7"/>
  <c r="V27" i="6"/>
  <c r="V40" i="9" l="1"/>
  <c r="E40" i="9" s="1"/>
  <c r="AG23" i="10" s="1"/>
  <c r="AG22" i="10"/>
  <c r="V23" i="6"/>
  <c r="E20" i="6"/>
  <c r="V34" i="9"/>
  <c r="E28" i="9"/>
  <c r="E32" i="9" l="1"/>
  <c r="E27" i="6"/>
  <c r="V28" i="6"/>
  <c r="V42" i="9" l="1"/>
  <c r="E28" i="6"/>
  <c r="E18" i="1"/>
  <c r="E33" i="9"/>
  <c r="E42" i="9" s="1"/>
  <c r="AG18" i="10" l="1"/>
  <c r="AC14" i="10"/>
  <c r="W5" i="9"/>
  <c r="W21" i="7" l="1"/>
  <c r="V5" i="6"/>
  <c r="V9" i="6" s="1"/>
  <c r="AA11" i="4" s="1"/>
  <c r="E11" i="4" s="1"/>
  <c r="V25" i="6"/>
  <c r="E34" i="9"/>
  <c r="AA12" i="4" l="1"/>
  <c r="E12" i="4" s="1"/>
  <c r="E5" i="6"/>
  <c r="V19" i="6"/>
  <c r="E9" i="6"/>
  <c r="W22" i="7"/>
  <c r="W26" i="9"/>
  <c r="F5" i="9"/>
  <c r="E16" i="1" l="1"/>
  <c r="E19" i="6"/>
  <c r="AG16" i="10" s="1"/>
  <c r="W23" i="7"/>
  <c r="W27" i="9"/>
  <c r="W37" i="9" l="1"/>
  <c r="W25" i="7"/>
  <c r="W24" i="7"/>
  <c r="W28" i="9" l="1"/>
  <c r="W26" i="7"/>
  <c r="W27" i="6" s="1"/>
  <c r="W28" i="6" s="1"/>
  <c r="W32" i="9" l="1"/>
  <c r="W33" i="9" s="1"/>
  <c r="W39" i="9"/>
  <c r="W40" i="9" s="1"/>
  <c r="W23" i="6"/>
  <c r="W34" i="9" l="1"/>
  <c r="W42" i="9"/>
  <c r="W25" i="6" l="1"/>
  <c r="X26" i="9"/>
  <c r="X5" i="9"/>
  <c r="X21" i="7" l="1"/>
  <c r="X22" i="7" s="1"/>
  <c r="X27" i="9" s="1"/>
  <c r="W5" i="6"/>
  <c r="W9" i="6" s="1"/>
  <c r="W19" i="6" s="1"/>
  <c r="X23" i="7" l="1"/>
  <c r="AB11" i="4"/>
  <c r="AB12" i="4"/>
  <c r="X37" i="9" l="1"/>
  <c r="X25" i="7"/>
  <c r="X28" i="9" s="1"/>
  <c r="X24" i="7"/>
  <c r="X32" i="9" l="1"/>
  <c r="X33" i="9" s="1"/>
  <c r="X23" i="6"/>
  <c r="X39" i="9"/>
  <c r="X40" i="9" s="1"/>
  <c r="X26" i="7"/>
  <c r="X27" i="6" s="1"/>
  <c r="X28" i="6" s="1"/>
  <c r="X34" i="9" l="1"/>
  <c r="X42" i="9"/>
  <c r="Y5" i="9" l="1"/>
  <c r="X25" i="6" l="1"/>
  <c r="X5" i="6"/>
  <c r="X9" i="6" s="1"/>
  <c r="Y21" i="7" l="1"/>
  <c r="Y22" i="7" s="1"/>
  <c r="X19" i="6"/>
  <c r="AC11" i="4"/>
  <c r="AC12" i="4"/>
  <c r="Y26" i="9"/>
  <c r="Y23" i="7" l="1"/>
  <c r="Y27" i="9"/>
  <c r="Y37" i="9" l="1"/>
  <c r="Y25" i="7"/>
  <c r="Y24" i="7"/>
  <c r="Y28" i="9" l="1"/>
  <c r="Y26" i="7"/>
  <c r="Y27" i="6" s="1"/>
  <c r="Y32" i="9" l="1"/>
  <c r="Y33" i="9" s="1"/>
  <c r="Y23" i="6"/>
  <c r="Y39" i="9"/>
  <c r="Y40" i="9" s="1"/>
  <c r="Y34" i="9" l="1"/>
  <c r="Y42" i="9"/>
  <c r="Y28" i="6"/>
  <c r="Z5" i="9" l="1"/>
  <c r="Y25" i="6" l="1"/>
  <c r="Y5" i="6"/>
  <c r="Y9" i="6" s="1"/>
  <c r="Z21" i="7" l="1"/>
  <c r="Z22" i="7" s="1"/>
  <c r="Y19" i="6"/>
  <c r="AD11" i="4"/>
  <c r="AD12" i="4"/>
  <c r="Z26" i="9"/>
  <c r="Z23" i="7" l="1"/>
  <c r="Z27" i="9"/>
  <c r="Z37" i="9" l="1"/>
  <c r="Z25" i="7"/>
  <c r="Z24" i="7"/>
  <c r="Z28" i="9" l="1"/>
  <c r="Z26" i="7"/>
  <c r="Z27" i="6" s="1"/>
  <c r="Z32" i="9" l="1"/>
  <c r="Z23" i="6"/>
  <c r="Z39" i="9"/>
  <c r="Z40" i="9" s="1"/>
  <c r="Z33" i="9" l="1"/>
  <c r="Z28" i="6"/>
  <c r="Z34" i="9" l="1"/>
  <c r="Z42" i="9"/>
  <c r="AA5" i="9" l="1"/>
  <c r="Z25" i="6" l="1"/>
  <c r="Z5" i="6"/>
  <c r="Z9" i="6" s="1"/>
  <c r="AA21" i="7" l="1"/>
  <c r="AA22" i="7" s="1"/>
  <c r="AA23" i="7" s="1"/>
  <c r="AE12" i="4"/>
  <c r="AA26" i="9"/>
  <c r="AA37" i="9" l="1"/>
  <c r="AA25" i="7"/>
  <c r="AA27" i="9"/>
  <c r="AA24" i="7"/>
  <c r="Z19" i="6"/>
  <c r="AE11" i="4"/>
  <c r="AA28" i="9" l="1"/>
  <c r="AA26" i="7"/>
  <c r="AA27" i="6" s="1"/>
  <c r="AA32" i="9" l="1"/>
  <c r="AA33" i="9" s="1"/>
  <c r="AA23" i="6"/>
  <c r="AA39" i="9"/>
  <c r="AA40" i="9" s="1"/>
  <c r="AA28" i="6"/>
  <c r="AA34" i="9" l="1"/>
  <c r="AA42" i="9"/>
  <c r="AB5" i="9" l="1"/>
  <c r="AA25" i="6" l="1"/>
  <c r="AB21" i="7"/>
  <c r="AA5" i="6"/>
  <c r="AA9" i="6" s="1"/>
  <c r="AF12" i="4" l="1"/>
  <c r="AB26" i="9"/>
  <c r="AB22" i="7"/>
  <c r="AB23" i="7" l="1"/>
  <c r="AB27" i="9"/>
  <c r="AA19" i="6"/>
  <c r="AF11" i="4"/>
  <c r="AB37" i="9" l="1"/>
  <c r="AB25" i="7"/>
  <c r="AB24" i="7"/>
  <c r="AB28" i="9" l="1"/>
  <c r="AB26" i="7"/>
  <c r="AB27" i="6" s="1"/>
  <c r="AB32" i="9" l="1"/>
  <c r="AB33" i="9" s="1"/>
  <c r="AB23" i="6"/>
  <c r="AB39" i="9"/>
  <c r="AB40" i="9" s="1"/>
  <c r="AB34" i="9" l="1"/>
  <c r="AB42" i="9"/>
  <c r="AB28" i="6"/>
  <c r="AB25" i="6" l="1"/>
  <c r="AC21" i="7"/>
  <c r="AC5" i="9"/>
  <c r="AC26" i="9" l="1"/>
  <c r="AB5" i="6"/>
  <c r="AB9" i="6" s="1"/>
  <c r="AB19" i="6" s="1"/>
  <c r="AC22" i="7"/>
  <c r="AG12" i="4" l="1"/>
  <c r="AG11" i="4"/>
  <c r="AC23" i="7"/>
  <c r="AC27" i="9"/>
  <c r="AC37" i="9" l="1"/>
  <c r="AC25" i="7"/>
  <c r="AC24" i="7"/>
  <c r="AC28" i="9" l="1"/>
  <c r="AC26" i="7"/>
  <c r="AC27" i="6" s="1"/>
  <c r="AC28" i="6" s="1"/>
  <c r="AC32" i="9" l="1"/>
  <c r="AC33" i="9" s="1"/>
  <c r="AC23" i="6"/>
  <c r="AC39" i="9"/>
  <c r="AC40" i="9" s="1"/>
  <c r="AC34" i="9" l="1"/>
  <c r="AC42" i="9"/>
  <c r="AC25" i="6" l="1"/>
  <c r="AD21" i="7"/>
  <c r="AD22" i="7" s="1"/>
  <c r="AD5" i="9"/>
  <c r="AD26" i="9" l="1"/>
  <c r="AC5" i="6"/>
  <c r="AC9" i="6" s="1"/>
  <c r="AD23" i="7"/>
  <c r="AD27" i="9"/>
  <c r="AD37" i="9" l="1"/>
  <c r="AD25" i="7"/>
  <c r="AH12" i="4"/>
  <c r="AC19" i="6"/>
  <c r="AH11" i="4"/>
  <c r="AD24" i="7"/>
  <c r="AD28" i="9" l="1"/>
  <c r="AD26" i="7"/>
  <c r="AD27" i="6" s="1"/>
  <c r="AD28" i="6" s="1"/>
  <c r="AD32" i="9" l="1"/>
  <c r="AD33" i="9" s="1"/>
  <c r="AD39" i="9"/>
  <c r="AD40" i="9" s="1"/>
  <c r="AD23" i="6"/>
  <c r="AD34" i="9" l="1"/>
  <c r="AD42" i="9"/>
  <c r="AE21" i="7"/>
  <c r="AE5" i="9" l="1"/>
  <c r="AD5" i="6" l="1"/>
  <c r="AE26" i="9"/>
  <c r="AD25" i="6"/>
  <c r="AD9" i="6" l="1"/>
  <c r="AI12" i="4"/>
  <c r="AE22" i="7"/>
  <c r="AE27" i="9" s="1"/>
  <c r="AE23" i="7" l="1"/>
  <c r="AD19" i="6"/>
  <c r="AI11" i="4"/>
  <c r="AE25" i="7" l="1"/>
  <c r="AE28" i="9" s="1"/>
  <c r="AE37" i="9"/>
  <c r="AE24" i="7"/>
  <c r="AE32" i="9" l="1"/>
  <c r="AE33" i="9" s="1"/>
  <c r="AE39" i="9"/>
  <c r="AE40" i="9" s="1"/>
  <c r="AE23" i="6"/>
  <c r="AE26" i="7"/>
  <c r="AE27" i="6" s="1"/>
  <c r="AE28" i="6" s="1"/>
  <c r="AE34" i="9" l="1"/>
  <c r="AE42" i="9"/>
  <c r="AF21" i="7"/>
  <c r="AF5" i="9" l="1"/>
  <c r="AE5" i="6" l="1"/>
  <c r="AE9" i="6" s="1"/>
  <c r="AF26" i="9"/>
  <c r="AE25" i="6"/>
  <c r="AJ12" i="4" l="1"/>
  <c r="AJ11" i="4"/>
  <c r="AE19" i="6"/>
  <c r="AF22" i="7"/>
  <c r="AF27" i="9" s="1"/>
  <c r="AF23" i="7" l="1"/>
  <c r="AF25" i="7" l="1"/>
  <c r="AF26" i="7" s="1"/>
  <c r="AF27" i="6" s="1"/>
  <c r="AF28" i="6" s="1"/>
  <c r="AF24" i="7"/>
  <c r="AF37" i="9"/>
  <c r="AF28" i="9" l="1"/>
  <c r="AF32" i="9" l="1"/>
  <c r="AF33" i="9" s="1"/>
  <c r="AF23" i="6"/>
  <c r="AF39" i="9"/>
  <c r="AF40" i="9" s="1"/>
  <c r="AF34" i="9" l="1"/>
  <c r="AF42" i="9"/>
  <c r="AG21" i="7"/>
  <c r="AG26" i="9" l="1"/>
  <c r="AF25" i="6"/>
  <c r="AF5" i="6" l="1"/>
  <c r="AK12" i="4" s="1"/>
  <c r="AG5" i="9"/>
  <c r="AG22" i="7"/>
  <c r="AG27" i="9" s="1"/>
  <c r="AF9" i="6" l="1"/>
  <c r="AK11" i="4" s="1"/>
  <c r="AG23" i="7"/>
  <c r="AG24" i="7" l="1"/>
  <c r="AG25" i="7"/>
  <c r="AG28" i="9" s="1"/>
  <c r="AF19" i="6"/>
  <c r="AG37" i="9"/>
  <c r="AG32" i="9" l="1"/>
  <c r="AG33" i="9" s="1"/>
  <c r="AG39" i="9"/>
  <c r="AG40" i="9" s="1"/>
  <c r="AG23" i="6"/>
  <c r="AG26" i="7"/>
  <c r="AG27" i="6" s="1"/>
  <c r="AG28" i="6" s="1"/>
  <c r="AG34" i="9" l="1"/>
  <c r="AH5" i="9" s="1"/>
  <c r="AG42" i="9"/>
  <c r="AH21" i="7"/>
  <c r="F25" i="9"/>
  <c r="AG5" i="6" l="1"/>
  <c r="G13" i="1"/>
  <c r="AH26" i="9"/>
  <c r="AG25" i="6"/>
  <c r="AG9" i="6" l="1"/>
  <c r="AL12" i="4"/>
  <c r="F26" i="9"/>
  <c r="AL11" i="4" l="1"/>
  <c r="AG19" i="6"/>
  <c r="AH22" i="7"/>
  <c r="F21" i="7"/>
  <c r="AH13" i="10" s="1"/>
  <c r="F22" i="7" l="1"/>
  <c r="AH27" i="9"/>
  <c r="AH23" i="7"/>
  <c r="I13" i="1"/>
  <c r="H13" i="1"/>
  <c r="AH37" i="9" l="1"/>
  <c r="F37" i="9" s="1"/>
  <c r="AH25" i="7"/>
  <c r="AH24" i="7"/>
  <c r="G14" i="1"/>
  <c r="F23" i="7"/>
  <c r="F27" i="9"/>
  <c r="G20" i="1" l="1"/>
  <c r="AH20" i="10"/>
  <c r="AH28" i="9"/>
  <c r="F25" i="7"/>
  <c r="AH26" i="7"/>
  <c r="F24" i="7"/>
  <c r="AH29" i="10"/>
  <c r="AH14" i="10"/>
  <c r="N26" i="4"/>
  <c r="I14" i="1"/>
  <c r="AH32" i="9" l="1"/>
  <c r="AH33" i="9" s="1"/>
  <c r="AH39" i="9"/>
  <c r="F39" i="9" s="1"/>
  <c r="G22" i="1" s="1"/>
  <c r="F26" i="7"/>
  <c r="AH27" i="6"/>
  <c r="H14" i="1"/>
  <c r="N27" i="4"/>
  <c r="G28" i="1" s="1"/>
  <c r="AH40" i="9" l="1"/>
  <c r="F40" i="9" s="1"/>
  <c r="AH23" i="10" s="1"/>
  <c r="AH22" i="10"/>
  <c r="F20" i="6"/>
  <c r="AH23" i="6"/>
  <c r="AH34" i="9"/>
  <c r="F28" i="9"/>
  <c r="F27" i="6"/>
  <c r="AH28" i="6"/>
  <c r="F28" i="6" l="1"/>
  <c r="AH18" i="10" s="1"/>
  <c r="G18" i="1"/>
  <c r="H20" i="1"/>
  <c r="F32" i="9"/>
  <c r="AH42" i="9" l="1"/>
  <c r="I20" i="1"/>
  <c r="F33" i="9"/>
  <c r="F42" i="9" s="1"/>
  <c r="H18" i="1"/>
  <c r="I18" i="1"/>
  <c r="AI5" i="9" l="1"/>
  <c r="AI21" i="7" l="1"/>
  <c r="AH5" i="6"/>
  <c r="AH9" i="6" s="1"/>
  <c r="AM11" i="4" s="1"/>
  <c r="F34" i="9"/>
  <c r="AH25" i="6"/>
  <c r="AM12" i="4" l="1"/>
  <c r="G12" i="4" s="1"/>
  <c r="F5" i="6"/>
  <c r="H26" i="4" s="1"/>
  <c r="G5" i="9"/>
  <c r="AI26" i="9"/>
  <c r="AI22" i="7"/>
  <c r="AH19" i="6"/>
  <c r="F9" i="6"/>
  <c r="G16" i="1" l="1"/>
  <c r="AI23" i="7"/>
  <c r="AI27" i="9"/>
  <c r="F19" i="6"/>
  <c r="G11" i="4"/>
  <c r="AI37" i="9" l="1"/>
  <c r="AI25" i="7"/>
  <c r="AI24" i="7"/>
  <c r="AH16" i="10"/>
  <c r="H16" i="1"/>
  <c r="I16" i="1"/>
  <c r="AI28" i="9" l="1"/>
  <c r="AI26" i="7"/>
  <c r="AI27" i="6" s="1"/>
  <c r="I22" i="1"/>
  <c r="H22" i="1"/>
  <c r="AI32" i="9" l="1"/>
  <c r="AI33" i="9" s="1"/>
  <c r="AI39" i="9"/>
  <c r="AI40" i="9" s="1"/>
  <c r="AI23" i="6"/>
  <c r="AI34" i="9" l="1"/>
  <c r="AI42" i="9"/>
  <c r="AI28" i="6"/>
  <c r="AJ5" i="9" l="1"/>
  <c r="AI25" i="6" l="1"/>
  <c r="AI5" i="6"/>
  <c r="AI9" i="6" s="1"/>
  <c r="AJ21" i="7" l="1"/>
  <c r="AJ22" i="7" s="1"/>
  <c r="AN12" i="4"/>
  <c r="AJ26" i="9"/>
  <c r="AJ23" i="7" l="1"/>
  <c r="AJ27" i="9"/>
  <c r="AI19" i="6"/>
  <c r="AN11" i="4"/>
  <c r="AJ37" i="9" l="1"/>
  <c r="AJ25" i="7"/>
  <c r="AJ24" i="7"/>
  <c r="AJ28" i="9" l="1"/>
  <c r="AJ26" i="7"/>
  <c r="AJ27" i="6" s="1"/>
  <c r="AJ28" i="6" s="1"/>
  <c r="AJ32" i="9" l="1"/>
  <c r="AJ33" i="9" s="1"/>
  <c r="AJ39" i="9"/>
  <c r="AJ40" i="9" s="1"/>
  <c r="AJ23" i="6"/>
  <c r="AJ34" i="9" l="1"/>
  <c r="AJ42" i="9"/>
  <c r="AK5" i="9" l="1"/>
  <c r="AJ25" i="6" l="1"/>
  <c r="AJ5" i="6"/>
  <c r="AJ9" i="6" s="1"/>
  <c r="AK21" i="7" l="1"/>
  <c r="AK22" i="7" s="1"/>
  <c r="AO12" i="4"/>
  <c r="AK26" i="9"/>
  <c r="AK23" i="7" l="1"/>
  <c r="AK27" i="9"/>
  <c r="AJ19" i="6"/>
  <c r="AO11" i="4"/>
  <c r="AK37" i="9" l="1"/>
  <c r="AK25" i="7"/>
  <c r="AK24" i="7"/>
  <c r="AK28" i="9" l="1"/>
  <c r="AK26" i="7"/>
  <c r="AK27" i="6" s="1"/>
  <c r="AK28" i="6" s="1"/>
  <c r="AK32" i="9" l="1"/>
  <c r="AK33" i="9" s="1"/>
  <c r="AK39" i="9"/>
  <c r="AK40" i="9" s="1"/>
  <c r="AK23" i="6"/>
  <c r="AK34" i="9" l="1"/>
  <c r="AK42" i="9"/>
  <c r="AK25" i="6" l="1"/>
  <c r="AL5" i="9"/>
  <c r="AL21" i="7" l="1"/>
  <c r="AL22" i="7" s="1"/>
  <c r="AL23" i="7" s="1"/>
  <c r="AK5" i="6"/>
  <c r="AK9" i="6" s="1"/>
  <c r="AL26" i="9"/>
  <c r="AL37" i="9" l="1"/>
  <c r="AL25" i="7"/>
  <c r="AL26" i="7" s="1"/>
  <c r="AL27" i="6" s="1"/>
  <c r="AL28" i="6" s="1"/>
  <c r="AL27" i="9"/>
  <c r="AP12" i="4"/>
  <c r="AK19" i="6"/>
  <c r="AP11" i="4"/>
  <c r="AL24" i="7"/>
  <c r="AL28" i="9" l="1"/>
  <c r="AL32" i="9" l="1"/>
  <c r="AL33" i="9" s="1"/>
  <c r="AL39" i="9"/>
  <c r="AL40" i="9" s="1"/>
  <c r="AL23" i="6"/>
  <c r="AL34" i="9" l="1"/>
  <c r="AL42" i="9"/>
  <c r="AM5" i="9" l="1"/>
  <c r="AL25" i="6" l="1"/>
  <c r="AL5" i="6"/>
  <c r="AL9" i="6" s="1"/>
  <c r="AM21" i="7" l="1"/>
  <c r="AM22" i="7" s="1"/>
  <c r="AM27" i="9" s="1"/>
  <c r="AQ12" i="4"/>
  <c r="AM26" i="9"/>
  <c r="AM23" i="7" l="1"/>
  <c r="AM24" i="7" s="1"/>
  <c r="AL19" i="6"/>
  <c r="AQ11" i="4"/>
  <c r="AM37" i="9" l="1"/>
  <c r="AM25" i="7"/>
  <c r="AM28" i="9" l="1"/>
  <c r="AM26" i="7"/>
  <c r="AM27" i="6" s="1"/>
  <c r="AM28" i="6" s="1"/>
  <c r="AM32" i="9" l="1"/>
  <c r="AM33" i="9" s="1"/>
  <c r="AM39" i="9"/>
  <c r="AM40" i="9" s="1"/>
  <c r="AM23" i="6"/>
  <c r="AM42" i="9" l="1"/>
  <c r="AM34" i="9"/>
  <c r="AN5" i="9" s="1"/>
  <c r="AM25" i="6" l="1"/>
  <c r="AN21" i="7"/>
  <c r="AM5" i="6"/>
  <c r="AM9" i="6" s="1"/>
  <c r="AN26" i="9" l="1"/>
  <c r="AN22" i="7"/>
  <c r="AR12" i="4"/>
  <c r="AM19" i="6" l="1"/>
  <c r="AR11" i="4"/>
  <c r="AN23" i="7"/>
  <c r="AN27" i="9"/>
  <c r="AN37" i="9" l="1"/>
  <c r="AN25" i="7"/>
  <c r="AN24" i="7"/>
  <c r="AN28" i="9" l="1"/>
  <c r="AN26" i="7"/>
  <c r="AN27" i="6" s="1"/>
  <c r="AN28" i="6" s="1"/>
  <c r="AN32" i="9" l="1"/>
  <c r="AN33" i="9" s="1"/>
  <c r="AN39" i="9"/>
  <c r="AN40" i="9" s="1"/>
  <c r="AN23" i="6"/>
  <c r="AN34" i="9" l="1"/>
  <c r="AN42" i="9"/>
  <c r="AN25" i="6" l="1"/>
  <c r="AO21" i="7"/>
  <c r="AO5" i="9"/>
  <c r="AO26" i="9" l="1"/>
  <c r="AN5" i="6"/>
  <c r="AN9" i="6" s="1"/>
  <c r="AO22" i="7"/>
  <c r="AO23" i="7" s="1"/>
  <c r="AS12" i="4" l="1"/>
  <c r="AO37" i="9"/>
  <c r="AO25" i="7"/>
  <c r="AO27" i="9"/>
  <c r="AO24" i="7"/>
  <c r="AN19" i="6"/>
  <c r="AS11" i="4"/>
  <c r="AO28" i="9" l="1"/>
  <c r="AO26" i="7"/>
  <c r="AO27" i="6" s="1"/>
  <c r="AO28" i="6" s="1"/>
  <c r="AO32" i="9" l="1"/>
  <c r="AO33" i="9" s="1"/>
  <c r="AO39" i="9"/>
  <c r="AO40" i="9" s="1"/>
  <c r="AO23" i="6"/>
  <c r="AO34" i="9" l="1"/>
  <c r="AO42" i="9"/>
  <c r="AP21" i="7"/>
  <c r="AO25" i="6" l="1"/>
  <c r="AP5" i="9"/>
  <c r="AP26" i="9"/>
  <c r="AP22" i="7"/>
  <c r="AO5" i="6" l="1"/>
  <c r="AO9" i="6" s="1"/>
  <c r="AP23" i="7"/>
  <c r="AP27" i="9"/>
  <c r="AP37" i="9" l="1"/>
  <c r="AP25" i="7"/>
  <c r="AT12" i="4"/>
  <c r="AP24" i="7"/>
  <c r="AO19" i="6"/>
  <c r="AT11" i="4"/>
  <c r="AP28" i="9" l="1"/>
  <c r="AP26" i="7"/>
  <c r="AP27" i="6" s="1"/>
  <c r="AP28" i="6" s="1"/>
  <c r="AP32" i="9" l="1"/>
  <c r="AP33" i="9" s="1"/>
  <c r="AP39" i="9"/>
  <c r="AP40" i="9" s="1"/>
  <c r="AP23" i="6"/>
  <c r="AP34" i="9" l="1"/>
  <c r="AP42" i="9"/>
  <c r="AP25" i="6" l="1"/>
  <c r="AQ21" i="7"/>
  <c r="AQ5" i="9"/>
  <c r="AQ26" i="9" l="1"/>
  <c r="AP5" i="6"/>
  <c r="AP9" i="6" s="1"/>
  <c r="AQ22" i="7"/>
  <c r="AQ23" i="7" s="1"/>
  <c r="AQ37" i="9" l="1"/>
  <c r="AQ25" i="7"/>
  <c r="AQ26" i="7" s="1"/>
  <c r="AQ27" i="6" s="1"/>
  <c r="AQ28" i="6" s="1"/>
  <c r="AU12" i="4"/>
  <c r="AQ27" i="9"/>
  <c r="AP19" i="6"/>
  <c r="AU11" i="4"/>
  <c r="AQ24" i="7"/>
  <c r="AQ28" i="9" l="1"/>
  <c r="AQ32" i="9" l="1"/>
  <c r="AQ33" i="9" s="1"/>
  <c r="AQ39" i="9"/>
  <c r="AQ40" i="9" s="1"/>
  <c r="AQ23" i="6"/>
  <c r="AQ34" i="9" l="1"/>
  <c r="AQ42" i="9"/>
  <c r="AQ25" i="6" l="1"/>
  <c r="AR21" i="7"/>
  <c r="AR22" i="7" s="1"/>
  <c r="AR5" i="9"/>
  <c r="AQ5" i="6"/>
  <c r="AQ9" i="6" s="1"/>
  <c r="AR26" i="9" l="1"/>
  <c r="AV12" i="4"/>
  <c r="AR23" i="7"/>
  <c r="AR27" i="9"/>
  <c r="AR37" i="9" l="1"/>
  <c r="AR25" i="7"/>
  <c r="AQ19" i="6"/>
  <c r="AV11" i="4"/>
  <c r="AR24" i="7"/>
  <c r="AR28" i="9" l="1"/>
  <c r="AR26" i="7"/>
  <c r="AR27" i="6" s="1"/>
  <c r="AR28" i="6" s="1"/>
  <c r="AR32" i="9" l="1"/>
  <c r="AR33" i="9" s="1"/>
  <c r="AR39" i="9"/>
  <c r="AR40" i="9" s="1"/>
  <c r="AR23" i="6"/>
  <c r="AR34" i="9" l="1"/>
  <c r="AR42" i="9"/>
  <c r="AR25" i="6" l="1"/>
  <c r="AS21" i="7"/>
  <c r="AS22" i="7" s="1"/>
  <c r="AS5" i="9"/>
  <c r="AS26" i="9" l="1"/>
  <c r="AR5" i="6"/>
  <c r="AW12" i="4" s="1"/>
  <c r="AS23" i="7"/>
  <c r="AS27" i="9"/>
  <c r="AS37" i="9" l="1"/>
  <c r="AS25" i="7"/>
  <c r="AR9" i="6"/>
  <c r="AW11" i="4" s="1"/>
  <c r="AS24" i="7"/>
  <c r="AR19" i="6" l="1"/>
  <c r="AS28" i="9"/>
  <c r="AS26" i="7"/>
  <c r="AS27" i="6" s="1"/>
  <c r="AS28" i="6" s="1"/>
  <c r="AS32" i="9" l="1"/>
  <c r="AS33" i="9" s="1"/>
  <c r="AS39" i="9"/>
  <c r="AS40" i="9" s="1"/>
  <c r="AS23" i="6"/>
  <c r="AS34" i="9" l="1"/>
  <c r="AS42" i="9"/>
  <c r="AT21" i="7" l="1"/>
  <c r="G25" i="9"/>
  <c r="AT5" i="9"/>
  <c r="AS5" i="6" l="1"/>
  <c r="K13" i="1"/>
  <c r="AT26" i="9"/>
  <c r="AS25" i="6"/>
  <c r="AX12" i="4" l="1"/>
  <c r="AS9" i="6"/>
  <c r="G26" i="9"/>
  <c r="AT22" i="7"/>
  <c r="G21" i="7"/>
  <c r="AI13" i="10" s="1"/>
  <c r="AX11" i="4" l="1"/>
  <c r="AS19" i="6"/>
  <c r="G22" i="7"/>
  <c r="AT27" i="9"/>
  <c r="AT23" i="7"/>
  <c r="M13" i="1"/>
  <c r="L13" i="1"/>
  <c r="AT37" i="9" l="1"/>
  <c r="G37" i="9" s="1"/>
  <c r="AT25" i="7"/>
  <c r="AT24" i="7"/>
  <c r="K14" i="1"/>
  <c r="G27" i="9"/>
  <c r="G23" i="7"/>
  <c r="K20" i="1" l="1"/>
  <c r="AI20" i="10"/>
  <c r="AT28" i="9"/>
  <c r="G24" i="7"/>
  <c r="AI14" i="10"/>
  <c r="G25" i="7"/>
  <c r="AT26" i="7"/>
  <c r="L14" i="1"/>
  <c r="AT32" i="9" l="1"/>
  <c r="AT39" i="9"/>
  <c r="G39" i="9" s="1"/>
  <c r="AI22" i="10" s="1"/>
  <c r="G26" i="7"/>
  <c r="AT27" i="6"/>
  <c r="M14" i="1"/>
  <c r="G28" i="9"/>
  <c r="AT40" i="9" l="1"/>
  <c r="G40" i="9" s="1"/>
  <c r="AI23" i="10" s="1"/>
  <c r="K22" i="1"/>
  <c r="G20" i="6"/>
  <c r="AT23" i="6"/>
  <c r="AT33" i="9"/>
  <c r="G32" i="9"/>
  <c r="G27" i="6"/>
  <c r="AT28" i="6"/>
  <c r="AT34" i="9" l="1"/>
  <c r="AT42" i="9"/>
  <c r="G28" i="6"/>
  <c r="AI18" i="10" s="1"/>
  <c r="K18" i="1"/>
  <c r="M18" i="1" s="1"/>
  <c r="M20" i="1"/>
  <c r="G33" i="9"/>
  <c r="G42" i="9" s="1"/>
  <c r="L18" i="1" l="1"/>
  <c r="L20" i="1"/>
  <c r="AT5" i="6" l="1"/>
  <c r="AT9" i="6" s="1"/>
  <c r="AU5" i="9"/>
  <c r="AU21" i="7"/>
  <c r="AT25" i="6"/>
  <c r="G34" i="9"/>
  <c r="AY12" i="4" l="1"/>
  <c r="H5" i="9"/>
  <c r="AU26" i="9"/>
  <c r="AY11" i="4"/>
  <c r="G5" i="6"/>
  <c r="I12" i="4" l="1"/>
  <c r="AU22" i="7"/>
  <c r="AT19" i="6"/>
  <c r="G9" i="6"/>
  <c r="I11" i="4"/>
  <c r="K16" i="1" l="1"/>
  <c r="M16" i="1" s="1"/>
  <c r="AU23" i="7"/>
  <c r="AU27" i="9"/>
  <c r="G19" i="6"/>
  <c r="AI16" i="10" s="1"/>
  <c r="L16" i="1" l="1"/>
  <c r="AU37" i="9"/>
  <c r="AU25" i="7"/>
  <c r="AU24" i="7"/>
  <c r="AU28" i="9" l="1"/>
  <c r="AU26" i="7"/>
  <c r="AU27" i="6" s="1"/>
  <c r="M22" i="1"/>
  <c r="L22" i="1"/>
  <c r="AU32" i="9" l="1"/>
  <c r="AU33" i="9" s="1"/>
  <c r="AU39" i="9"/>
  <c r="AU40" i="9" s="1"/>
  <c r="AU23" i="6"/>
  <c r="AU34" i="9" l="1"/>
  <c r="AU42" i="9"/>
  <c r="AU28" i="6"/>
  <c r="AV5" i="9" l="1"/>
  <c r="AU25" i="6" l="1"/>
  <c r="AU5" i="6"/>
  <c r="AU9" i="6" s="1"/>
  <c r="AV21" i="7" l="1"/>
  <c r="AV22" i="7" s="1"/>
  <c r="AZ12" i="4"/>
  <c r="AV26" i="9"/>
  <c r="AU19" i="6" l="1"/>
  <c r="AZ11" i="4"/>
  <c r="AV23" i="7"/>
  <c r="AV27" i="9"/>
  <c r="AV37" i="9" l="1"/>
  <c r="AV25" i="7"/>
  <c r="AV24" i="7"/>
  <c r="AV28" i="9" l="1"/>
  <c r="AV26" i="7"/>
  <c r="AV27" i="6" s="1"/>
  <c r="AV28" i="6" s="1"/>
  <c r="AV32" i="9" l="1"/>
  <c r="AV33" i="9" s="1"/>
  <c r="AV39" i="9"/>
  <c r="AV40" i="9" s="1"/>
  <c r="AV23" i="6"/>
  <c r="AV34" i="9" l="1"/>
  <c r="AW5" i="9" s="1"/>
  <c r="AV42" i="9"/>
  <c r="AV5" i="6" l="1"/>
  <c r="AV9" i="6" s="1"/>
  <c r="AV25" i="6" l="1"/>
  <c r="BA12" i="4"/>
  <c r="AW26" i="9"/>
  <c r="AW21" i="7" l="1"/>
  <c r="AW22" i="7" s="1"/>
  <c r="AW27" i="9" s="1"/>
  <c r="AV19" i="6"/>
  <c r="BA11" i="4"/>
  <c r="AW23" i="7" l="1"/>
  <c r="AW37" i="9" s="1"/>
  <c r="AW25" i="7" l="1"/>
  <c r="AW28" i="9" s="1"/>
  <c r="AW24" i="7"/>
  <c r="AW26" i="7" l="1"/>
  <c r="AW27" i="6" s="1"/>
  <c r="AW28" i="6" s="1"/>
  <c r="AW32" i="9"/>
  <c r="AW33" i="9" s="1"/>
  <c r="AW39" i="9"/>
  <c r="AW40" i="9" s="1"/>
  <c r="AW23" i="6"/>
  <c r="AW34" i="9" l="1"/>
  <c r="AW42" i="9"/>
  <c r="AW25" i="6" l="1"/>
  <c r="AX5" i="9"/>
  <c r="AX21" i="7" l="1"/>
  <c r="AX22" i="7" s="1"/>
  <c r="AX27" i="9" s="1"/>
  <c r="AW5" i="6"/>
  <c r="AW9" i="6" s="1"/>
  <c r="AX26" i="9"/>
  <c r="AX23" i="7" l="1"/>
  <c r="AX24" i="7" s="1"/>
  <c r="BB12" i="4"/>
  <c r="AW19" i="6"/>
  <c r="BB11" i="4"/>
  <c r="AX37" i="9" l="1"/>
  <c r="AX25" i="7"/>
  <c r="AX28" i="9" l="1"/>
  <c r="AX26" i="7"/>
  <c r="AX27" i="6" s="1"/>
  <c r="AX28" i="6" s="1"/>
  <c r="AX32" i="9" l="1"/>
  <c r="AX33" i="9" s="1"/>
  <c r="AX34" i="9" s="1"/>
  <c r="AX39" i="9"/>
  <c r="AX40" i="9" s="1"/>
  <c r="AX23" i="6"/>
  <c r="AX42" i="9" l="1"/>
  <c r="AY5" i="9"/>
  <c r="AX25" i="6" l="1"/>
  <c r="AX5" i="6"/>
  <c r="AX9" i="6" s="1"/>
  <c r="AY21" i="7" l="1"/>
  <c r="AY22" i="7" s="1"/>
  <c r="AY23" i="7" s="1"/>
  <c r="BC12" i="4"/>
  <c r="AY26" i="9"/>
  <c r="AY37" i="9" l="1"/>
  <c r="AY25" i="7"/>
  <c r="AY27" i="9"/>
  <c r="AY24" i="7"/>
  <c r="AX19" i="6"/>
  <c r="BC11" i="4"/>
  <c r="AY28" i="9" l="1"/>
  <c r="AY26" i="7"/>
  <c r="AY27" i="6" s="1"/>
  <c r="AY28" i="6" s="1"/>
  <c r="AY32" i="9" l="1"/>
  <c r="AY33" i="9" s="1"/>
  <c r="AY39" i="9"/>
  <c r="AY40" i="9" s="1"/>
  <c r="AY23" i="6"/>
  <c r="AY34" i="9" l="1"/>
  <c r="AY42" i="9"/>
  <c r="AZ5" i="9" l="1"/>
  <c r="AY25" i="6" l="1"/>
  <c r="AZ21" i="7"/>
  <c r="AY5" i="6"/>
  <c r="AY9" i="6" s="1"/>
  <c r="AZ26" i="9" l="1"/>
  <c r="AZ22" i="7"/>
  <c r="BD12" i="4"/>
  <c r="AZ23" i="7" l="1"/>
  <c r="AZ27" i="9"/>
  <c r="AY19" i="6"/>
  <c r="BD11" i="4"/>
  <c r="AZ37" i="9" l="1"/>
  <c r="AZ25" i="7"/>
  <c r="AZ24" i="7"/>
  <c r="AZ28" i="9" l="1"/>
  <c r="AZ26" i="7"/>
  <c r="AZ27" i="6" s="1"/>
  <c r="AZ28" i="6" s="1"/>
  <c r="AZ32" i="9" l="1"/>
  <c r="AZ33" i="9" s="1"/>
  <c r="AZ39" i="9"/>
  <c r="AZ40" i="9" s="1"/>
  <c r="AZ23" i="6"/>
  <c r="AZ34" i="9" l="1"/>
  <c r="AZ42" i="9"/>
  <c r="AZ25" i="6" l="1"/>
  <c r="BA21" i="7"/>
  <c r="BA22" i="7" s="1"/>
  <c r="BA5" i="9"/>
  <c r="AZ5" i="6" l="1"/>
  <c r="AZ9" i="6" s="1"/>
  <c r="BA26" i="9"/>
  <c r="BA23" i="7"/>
  <c r="BA27" i="9"/>
  <c r="BA37" i="9" l="1"/>
  <c r="BA25" i="7"/>
  <c r="BA26" i="7" s="1"/>
  <c r="BA27" i="6" s="1"/>
  <c r="BA28" i="6" s="1"/>
  <c r="BE12" i="4"/>
  <c r="BA24" i="7"/>
  <c r="AZ19" i="6"/>
  <c r="BE11" i="4"/>
  <c r="BA28" i="9" l="1"/>
  <c r="BA32" i="9" l="1"/>
  <c r="BA33" i="9" s="1"/>
  <c r="BA39" i="9"/>
  <c r="BA40" i="9" s="1"/>
  <c r="BA23" i="6"/>
  <c r="BA34" i="9" l="1"/>
  <c r="BA42" i="9"/>
  <c r="BA25" i="6" l="1"/>
  <c r="BB21" i="7"/>
  <c r="BB5" i="9"/>
  <c r="BB26" i="9" l="1"/>
  <c r="BA5" i="6"/>
  <c r="BA9" i="6" s="1"/>
  <c r="BB22" i="7"/>
  <c r="BB27" i="9" s="1"/>
  <c r="BF12" i="4" l="1"/>
  <c r="BB23" i="7"/>
  <c r="BA19" i="6"/>
  <c r="BF11" i="4"/>
  <c r="BB37" i="9" l="1"/>
  <c r="BB25" i="7"/>
  <c r="BB28" i="9" s="1"/>
  <c r="BB24" i="7"/>
  <c r="BB32" i="9" l="1"/>
  <c r="BB33" i="9" s="1"/>
  <c r="BB39" i="9"/>
  <c r="BB40" i="9" s="1"/>
  <c r="BB23" i="6"/>
  <c r="BB26" i="7"/>
  <c r="BB27" i="6" s="1"/>
  <c r="BB28" i="6" s="1"/>
  <c r="BB34" i="9" l="1"/>
  <c r="BB42" i="9"/>
  <c r="BB25" i="6" l="1"/>
  <c r="BC21" i="7"/>
  <c r="BC5" i="9"/>
  <c r="BC26" i="9" l="1"/>
  <c r="BB5" i="6"/>
  <c r="BB9" i="6" s="1"/>
  <c r="BC22" i="7"/>
  <c r="BC23" i="7" s="1"/>
  <c r="BG12" i="4" l="1"/>
  <c r="BC37" i="9"/>
  <c r="BC25" i="7"/>
  <c r="BC26" i="7" s="1"/>
  <c r="BC27" i="6" s="1"/>
  <c r="BC27" i="9"/>
  <c r="BB19" i="6"/>
  <c r="BG11" i="4"/>
  <c r="BC24" i="7"/>
  <c r="BC28" i="9" l="1"/>
  <c r="BC28" i="6"/>
  <c r="BC32" i="9" l="1"/>
  <c r="BC33" i="9" s="1"/>
  <c r="BC39" i="9"/>
  <c r="BC40" i="9" s="1"/>
  <c r="BC23" i="6"/>
  <c r="BC34" i="9" l="1"/>
  <c r="BC42" i="9"/>
  <c r="BD21" i="7"/>
  <c r="BD5" i="9" l="1"/>
  <c r="BD26" i="9" l="1"/>
  <c r="BC25" i="6"/>
  <c r="BC5" i="6"/>
  <c r="BC9" i="6" l="1"/>
  <c r="BH12" i="4"/>
  <c r="BD22" i="7"/>
  <c r="BC19" i="6" l="1"/>
  <c r="BH11" i="4"/>
  <c r="BD23" i="7"/>
  <c r="BD27" i="9"/>
  <c r="BD37" i="9" l="1"/>
  <c r="BD25" i="7"/>
  <c r="BD24" i="7"/>
  <c r="BD28" i="9" l="1"/>
  <c r="BD26" i="7"/>
  <c r="BD27" i="6" s="1"/>
  <c r="BD32" i="9" l="1"/>
  <c r="BD33" i="9" s="1"/>
  <c r="BD39" i="9"/>
  <c r="BD40" i="9" s="1"/>
  <c r="BD23" i="6"/>
  <c r="BD28" i="6"/>
  <c r="BD34" i="9" l="1"/>
  <c r="BD42" i="9"/>
  <c r="BE21" i="7"/>
  <c r="BE5" i="9" l="1"/>
  <c r="BD5" i="6" l="1"/>
  <c r="BE26" i="9"/>
  <c r="BD25" i="6"/>
  <c r="BD9" i="6" l="1"/>
  <c r="BI12" i="4"/>
  <c r="BE22" i="7"/>
  <c r="BD19" i="6" l="1"/>
  <c r="BI11" i="4"/>
  <c r="BE23" i="7"/>
  <c r="BE27" i="9"/>
  <c r="BE37" i="9" l="1"/>
  <c r="BE25" i="7"/>
  <c r="BE24" i="7"/>
  <c r="BE28" i="9" l="1"/>
  <c r="BE26" i="7"/>
  <c r="BE27" i="6" s="1"/>
  <c r="BE32" i="9" l="1"/>
  <c r="BE33" i="9" s="1"/>
  <c r="BE39" i="9"/>
  <c r="BE40" i="9" s="1"/>
  <c r="BE23" i="6"/>
  <c r="BE28" i="6"/>
  <c r="BE34" i="9" l="1"/>
  <c r="BE42" i="9"/>
  <c r="BF21" i="7" l="1"/>
  <c r="H25" i="9"/>
  <c r="BF5" i="9"/>
  <c r="BE5" i="6" l="1"/>
  <c r="O13" i="1"/>
  <c r="BF26" i="9"/>
  <c r="BE25" i="6"/>
  <c r="BE9" i="6" l="1"/>
  <c r="BJ12" i="4"/>
  <c r="H26" i="9"/>
  <c r="BJ11" i="4" l="1"/>
  <c r="BE19" i="6"/>
  <c r="BF22" i="7"/>
  <c r="H21" i="7"/>
  <c r="AJ13" i="10" s="1"/>
  <c r="H22" i="7" l="1"/>
  <c r="BF27" i="9"/>
  <c r="BF23" i="7"/>
  <c r="Q13" i="1"/>
  <c r="P13" i="1"/>
  <c r="BF37" i="9" l="1"/>
  <c r="H37" i="9" s="1"/>
  <c r="BF25" i="7"/>
  <c r="BF26" i="7" s="1"/>
  <c r="BF24" i="7"/>
  <c r="O14" i="1"/>
  <c r="H27" i="9"/>
  <c r="H23" i="7"/>
  <c r="O20" i="1" l="1"/>
  <c r="AJ20" i="10"/>
  <c r="H26" i="7"/>
  <c r="BF27" i="6"/>
  <c r="H24" i="7"/>
  <c r="AJ14" i="10"/>
  <c r="BF28" i="9"/>
  <c r="H25" i="7"/>
  <c r="Q14" i="1"/>
  <c r="BF32" i="9" l="1"/>
  <c r="BF39" i="9"/>
  <c r="H39" i="9" s="1"/>
  <c r="O22" i="1" s="1"/>
  <c r="P14" i="1"/>
  <c r="BF40" i="9" l="1"/>
  <c r="H40" i="9" s="1"/>
  <c r="AJ23" i="10" s="1"/>
  <c r="AJ22" i="10"/>
  <c r="H20" i="6"/>
  <c r="BF23" i="6"/>
  <c r="H28" i="9"/>
  <c r="H27" i="6"/>
  <c r="BF28" i="6"/>
  <c r="P20" i="1" l="1"/>
  <c r="H28" i="6"/>
  <c r="AJ18" i="10" s="1"/>
  <c r="O18" i="1"/>
  <c r="BF33" i="9"/>
  <c r="H32" i="9"/>
  <c r="BF34" i="9" l="1"/>
  <c r="BF42" i="9"/>
  <c r="Q20" i="1"/>
  <c r="H33" i="9"/>
  <c r="H42" i="9" s="1"/>
  <c r="Q18" i="1"/>
  <c r="P18" i="1"/>
  <c r="BF5" i="6" l="1"/>
  <c r="BF9" i="6" s="1"/>
  <c r="BK11" i="4" s="1"/>
  <c r="BG5" i="9"/>
  <c r="BG21" i="7"/>
  <c r="BF25" i="6"/>
  <c r="H34" i="9"/>
  <c r="H5" i="6" l="1"/>
  <c r="BK12" i="4"/>
  <c r="K12" i="4" s="1"/>
  <c r="I5" i="9"/>
  <c r="BG26" i="9"/>
  <c r="BG22" i="7"/>
  <c r="H9" i="6"/>
  <c r="BF19" i="6"/>
  <c r="O16" i="1" l="1"/>
  <c r="BG23" i="7"/>
  <c r="BG27" i="9"/>
  <c r="H19" i="6"/>
  <c r="AJ16" i="10" s="1"/>
  <c r="K11" i="4"/>
  <c r="BG37" i="9" l="1"/>
  <c r="BG25" i="7"/>
  <c r="BG24" i="7"/>
  <c r="Q16" i="1"/>
  <c r="P16" i="1"/>
  <c r="BG28" i="9" l="1"/>
  <c r="BG26" i="7"/>
  <c r="BG27" i="6" s="1"/>
  <c r="Q22" i="1"/>
  <c r="P22" i="1"/>
  <c r="BG32" i="9" l="1"/>
  <c r="BG33" i="9" s="1"/>
  <c r="BG39" i="9"/>
  <c r="BG40" i="9" s="1"/>
  <c r="BG23" i="6"/>
  <c r="BG28" i="6"/>
  <c r="BG34" i="9" l="1"/>
  <c r="BG42" i="9"/>
  <c r="BH5" i="9" l="1"/>
  <c r="BG25" i="6" l="1"/>
  <c r="BG5" i="6"/>
  <c r="BG9" i="6" s="1"/>
  <c r="BH21" i="7" l="1"/>
  <c r="BH22" i="7" s="1"/>
  <c r="BL12" i="4"/>
  <c r="BH26" i="9"/>
  <c r="BH23" i="7" l="1"/>
  <c r="BH27" i="9"/>
  <c r="BG19" i="6"/>
  <c r="BL11" i="4"/>
  <c r="BH37" i="9" l="1"/>
  <c r="BH25" i="7"/>
  <c r="BH24" i="7"/>
  <c r="BH28" i="9" l="1"/>
  <c r="BH26" i="7"/>
  <c r="BH27" i="6" s="1"/>
  <c r="BH28" i="6" s="1"/>
  <c r="BH32" i="9" l="1"/>
  <c r="BH33" i="9" s="1"/>
  <c r="BH39" i="9"/>
  <c r="BH40" i="9" s="1"/>
  <c r="BH23" i="6"/>
  <c r="BH34" i="9" l="1"/>
  <c r="BH42" i="9"/>
  <c r="BH25" i="6" l="1"/>
  <c r="BH5" i="6" l="1"/>
  <c r="BH9" i="6" s="1"/>
  <c r="BI5" i="9"/>
  <c r="BI21" i="7"/>
  <c r="BI22" i="7" s="1"/>
  <c r="BI26" i="9"/>
  <c r="BM12" i="4" l="1"/>
  <c r="BH19" i="6"/>
  <c r="BM11" i="4"/>
  <c r="BI23" i="7"/>
  <c r="BI27" i="9"/>
  <c r="BI37" i="9" l="1"/>
  <c r="BI25" i="7"/>
  <c r="BI26" i="7" s="1"/>
  <c r="BI27" i="6" s="1"/>
  <c r="BI28" i="6" s="1"/>
  <c r="BI24" i="7"/>
  <c r="BI28" i="9" l="1"/>
  <c r="BI32" i="9" l="1"/>
  <c r="BI33" i="9" s="1"/>
  <c r="BI23" i="6"/>
  <c r="BI39" i="9"/>
  <c r="BI40" i="9" s="1"/>
  <c r="BI34" i="9" l="1"/>
  <c r="BI42" i="9"/>
  <c r="BI25" i="6" l="1"/>
  <c r="BJ5" i="9"/>
  <c r="BJ21" i="7" l="1"/>
  <c r="BJ22" i="7" s="1"/>
  <c r="BI5" i="6"/>
  <c r="BI9" i="6" s="1"/>
  <c r="BJ26" i="9"/>
  <c r="BN12" i="4" l="1"/>
  <c r="BJ23" i="7"/>
  <c r="BJ27" i="9"/>
  <c r="BI19" i="6"/>
  <c r="BN11" i="4"/>
  <c r="BJ37" i="9" l="1"/>
  <c r="BJ25" i="7"/>
  <c r="BJ26" i="7" s="1"/>
  <c r="BJ27" i="6" s="1"/>
  <c r="BJ28" i="6" s="1"/>
  <c r="BJ24" i="7"/>
  <c r="BJ28" i="9" l="1"/>
  <c r="BJ32" i="9" l="1"/>
  <c r="BJ33" i="9" s="1"/>
  <c r="BJ39" i="9"/>
  <c r="BJ40" i="9" s="1"/>
  <c r="BJ23" i="6"/>
  <c r="BJ34" i="9" l="1"/>
  <c r="BJ42" i="9"/>
  <c r="BJ25" i="6" l="1"/>
  <c r="BK5" i="9"/>
  <c r="BK21" i="7" l="1"/>
  <c r="BK22" i="7" s="1"/>
  <c r="BK23" i="7" s="1"/>
  <c r="BJ5" i="6"/>
  <c r="BJ9" i="6" s="1"/>
  <c r="BK26" i="9"/>
  <c r="BO12" i="4" l="1"/>
  <c r="BK37" i="9"/>
  <c r="BK25" i="7"/>
  <c r="BK26" i="7" s="1"/>
  <c r="BK27" i="6" s="1"/>
  <c r="BK27" i="9"/>
  <c r="BK24" i="7"/>
  <c r="BJ19" i="6"/>
  <c r="BO11" i="4"/>
  <c r="BK28" i="9" l="1"/>
  <c r="BK32" i="9" l="1"/>
  <c r="BK33" i="9" s="1"/>
  <c r="BK39" i="9"/>
  <c r="BK40" i="9" s="1"/>
  <c r="BK23" i="6"/>
  <c r="BK28" i="6"/>
  <c r="BK34" i="9" l="1"/>
  <c r="BK42" i="9"/>
  <c r="BL5" i="9" l="1"/>
  <c r="BK25" i="6" l="1"/>
  <c r="BL21" i="7"/>
  <c r="BK5" i="6"/>
  <c r="BK9" i="6" s="1"/>
  <c r="BK19" i="6" l="1"/>
  <c r="BP11" i="4"/>
  <c r="BL26" i="9"/>
  <c r="BP12" i="4"/>
  <c r="BL22" i="7" l="1"/>
  <c r="BL23" i="7" l="1"/>
  <c r="BL27" i="9"/>
  <c r="BL37" i="9" l="1"/>
  <c r="BL25" i="7"/>
  <c r="BL24" i="7"/>
  <c r="BL28" i="9" l="1"/>
  <c r="BL26" i="7"/>
  <c r="BL27" i="6" s="1"/>
  <c r="BL32" i="9" l="1"/>
  <c r="BL33" i="9" s="1"/>
  <c r="BL23" i="6"/>
  <c r="BL39" i="9"/>
  <c r="BL40" i="9" s="1"/>
  <c r="BL34" i="9" l="1"/>
  <c r="BL42" i="9"/>
  <c r="BL28" i="6"/>
  <c r="BL25" i="6" l="1"/>
  <c r="BM21" i="7"/>
  <c r="BM5" i="9"/>
  <c r="BM26" i="9" l="1"/>
  <c r="BL5" i="6"/>
  <c r="BL9" i="6" s="1"/>
  <c r="BL19" i="6" l="1"/>
  <c r="BQ11" i="4"/>
  <c r="BQ12" i="4"/>
  <c r="BM22" i="7" l="1"/>
  <c r="BM23" i="7" l="1"/>
  <c r="BM27" i="9"/>
  <c r="BM37" i="9" l="1"/>
  <c r="BM25" i="7"/>
  <c r="BM24" i="7"/>
  <c r="BM28" i="9" l="1"/>
  <c r="BM26" i="7"/>
  <c r="BM27" i="6" s="1"/>
  <c r="BM32" i="9" l="1"/>
  <c r="BM33" i="9" s="1"/>
  <c r="BM23" i="6"/>
  <c r="BM39" i="9"/>
  <c r="BM40" i="9" s="1"/>
  <c r="BM28" i="6"/>
  <c r="BM34" i="9" l="1"/>
  <c r="BM42" i="9"/>
  <c r="BM25" i="6" l="1"/>
  <c r="BN21" i="7"/>
  <c r="BN5" i="9"/>
  <c r="BN26" i="9" l="1"/>
  <c r="BM5" i="6"/>
  <c r="BM9" i="6" s="1"/>
  <c r="BM19" i="6" s="1"/>
  <c r="BR12" i="4" l="1"/>
  <c r="BR11" i="4"/>
  <c r="BN22" i="7" l="1"/>
  <c r="BN23" i="7" l="1"/>
  <c r="BN27" i="9"/>
  <c r="BN37" i="9" l="1"/>
  <c r="BN25" i="7"/>
  <c r="BN24" i="7"/>
  <c r="BN28" i="9" l="1"/>
  <c r="BN26" i="7"/>
  <c r="BN27" i="6" s="1"/>
  <c r="BN32" i="9" l="1"/>
  <c r="BN33" i="9" s="1"/>
  <c r="BN39" i="9"/>
  <c r="BN40" i="9" s="1"/>
  <c r="BN23" i="6"/>
  <c r="BN28" i="6"/>
  <c r="BN34" i="9" l="1"/>
  <c r="BN42" i="9"/>
  <c r="BO21" i="7"/>
  <c r="BO5" i="9" l="1"/>
  <c r="BN5" i="6" l="1"/>
  <c r="BO26" i="9"/>
  <c r="BN25" i="6"/>
  <c r="BN9" i="6" l="1"/>
  <c r="BS12" i="4"/>
  <c r="BO22" i="7"/>
  <c r="BN19" i="6" l="1"/>
  <c r="BS11" i="4"/>
  <c r="BO23" i="7"/>
  <c r="BO27" i="9"/>
  <c r="BO37" i="9" l="1"/>
  <c r="BO25" i="7"/>
  <c r="BO24" i="7"/>
  <c r="BO28" i="9" l="1"/>
  <c r="BO26" i="7"/>
  <c r="BO27" i="6" s="1"/>
  <c r="BO32" i="9" l="1"/>
  <c r="BO33" i="9" s="1"/>
  <c r="BO39" i="9"/>
  <c r="BO40" i="9" s="1"/>
  <c r="BO23" i="6"/>
  <c r="BO28" i="6"/>
  <c r="BO34" i="9" l="1"/>
  <c r="BO42" i="9"/>
  <c r="BP21" i="7"/>
  <c r="BP5" i="9" l="1"/>
  <c r="BO5" i="6" l="1"/>
  <c r="BP26" i="9"/>
  <c r="BO25" i="6"/>
  <c r="BO9" i="6" l="1"/>
  <c r="BT12" i="4"/>
  <c r="BP22" i="7"/>
  <c r="BP27" i="9" s="1"/>
  <c r="BO19" i="6" l="1"/>
  <c r="BT11" i="4"/>
  <c r="BP23" i="7"/>
  <c r="BP25" i="7" s="1"/>
  <c r="BP37" i="9" l="1"/>
  <c r="BP24" i="7"/>
  <c r="BP28" i="9"/>
  <c r="BP26" i="7"/>
  <c r="BP27" i="6" s="1"/>
  <c r="BP28" i="6" s="1"/>
  <c r="BP32" i="9" l="1"/>
  <c r="BP33" i="9" s="1"/>
  <c r="BP39" i="9"/>
  <c r="BP40" i="9" s="1"/>
  <c r="BP23" i="6"/>
  <c r="BP34" i="9" l="1"/>
  <c r="BP42" i="9"/>
  <c r="BQ21" i="7"/>
  <c r="BP5" i="6" l="1"/>
  <c r="BP9" i="6" s="1"/>
  <c r="BQ5" i="9"/>
  <c r="BQ26" i="9"/>
  <c r="BP25" i="6"/>
  <c r="BU12" i="4" l="1"/>
  <c r="BP19" i="6"/>
  <c r="BU11" i="4"/>
  <c r="BQ22" i="7"/>
  <c r="BQ27" i="9" s="1"/>
  <c r="BQ23" i="7" l="1"/>
  <c r="BQ37" i="9" l="1"/>
  <c r="BQ25" i="7"/>
  <c r="BQ26" i="7" s="1"/>
  <c r="BQ27" i="6" s="1"/>
  <c r="BQ28" i="6" s="1"/>
  <c r="BQ24" i="7"/>
  <c r="BQ28" i="9" l="1"/>
  <c r="BQ32" i="9" l="1"/>
  <c r="BQ33" i="9" s="1"/>
  <c r="BQ39" i="9"/>
  <c r="BQ40" i="9" s="1"/>
  <c r="BQ23" i="6"/>
  <c r="BQ34" i="9" l="1"/>
  <c r="BQ42" i="9"/>
  <c r="BR21" i="7" l="1"/>
  <c r="I25" i="9"/>
  <c r="BR5" i="9"/>
  <c r="BQ5" i="6" l="1"/>
  <c r="BV12" i="4" s="1"/>
  <c r="BQ25" i="6"/>
  <c r="BR26" i="9"/>
  <c r="BQ9" i="6" l="1"/>
  <c r="BV11" i="4" s="1"/>
  <c r="I26" i="9"/>
  <c r="S13" i="1"/>
  <c r="BR22" i="7"/>
  <c r="BR23" i="7" s="1"/>
  <c r="I21" i="7"/>
  <c r="AK13" i="10" s="1"/>
  <c r="BQ19" i="6" l="1"/>
  <c r="BR37" i="9"/>
  <c r="I37" i="9" s="1"/>
  <c r="BR25" i="7"/>
  <c r="BR26" i="7" s="1"/>
  <c r="U13" i="1"/>
  <c r="T13" i="1"/>
  <c r="I23" i="7"/>
  <c r="S14" i="1"/>
  <c r="BR24" i="7"/>
  <c r="BR27" i="9"/>
  <c r="I22" i="7"/>
  <c r="S20" i="1" l="1"/>
  <c r="AK20" i="10"/>
  <c r="I26" i="7"/>
  <c r="BR27" i="6"/>
  <c r="AK14" i="10"/>
  <c r="I24" i="7"/>
  <c r="I25" i="7"/>
  <c r="BR28" i="9"/>
  <c r="T14" i="1"/>
  <c r="U14" i="1"/>
  <c r="I27" i="9"/>
  <c r="BR32" i="9" l="1"/>
  <c r="BR33" i="9" s="1"/>
  <c r="BR39" i="9"/>
  <c r="I39" i="9" s="1"/>
  <c r="S22" i="1" s="1"/>
  <c r="I28" i="9"/>
  <c r="I27" i="6"/>
  <c r="BR28" i="6"/>
  <c r="BR40" i="9" l="1"/>
  <c r="I40" i="9" s="1"/>
  <c r="AK23" i="10" s="1"/>
  <c r="AK22" i="10"/>
  <c r="BR23" i="6"/>
  <c r="I20" i="6"/>
  <c r="BR34" i="9"/>
  <c r="I32" i="9"/>
  <c r="S18" i="1"/>
  <c r="I28" i="6"/>
  <c r="AK18" i="10" s="1"/>
  <c r="I33" i="9"/>
  <c r="BR42" i="9" l="1"/>
  <c r="I42" i="9"/>
  <c r="U18" i="1"/>
  <c r="T18" i="1"/>
  <c r="T20" i="1"/>
  <c r="U20" i="1"/>
  <c r="BR5" i="6" l="1"/>
  <c r="I34" i="9"/>
  <c r="BQ30" i="6"/>
  <c r="BV13" i="4"/>
  <c r="BV15" i="4" s="1"/>
  <c r="BU13" i="4"/>
  <c r="BU15" i="4" s="1"/>
  <c r="BO30" i="6"/>
  <c r="BS13" i="4"/>
  <c r="BS15" i="4" s="1"/>
  <c r="BR13" i="4"/>
  <c r="BR15" i="4" s="1"/>
  <c r="BM30" i="6"/>
  <c r="BL30" i="6"/>
  <c r="BP13" i="4"/>
  <c r="BP15" i="4" s="1"/>
  <c r="BO13" i="4"/>
  <c r="BO15" i="4" s="1"/>
  <c r="BJ30" i="6"/>
  <c r="BI30" i="6"/>
  <c r="BH30" i="6"/>
  <c r="BM13" i="4"/>
  <c r="BM15" i="4" s="1"/>
  <c r="BL13" i="4"/>
  <c r="BL15" i="4" s="1"/>
  <c r="BJ13" i="4"/>
  <c r="BJ15" i="4" s="1"/>
  <c r="BI13" i="4"/>
  <c r="BI15" i="4" s="1"/>
  <c r="BH13" i="4"/>
  <c r="BH15" i="4" s="1"/>
  <c r="BB30" i="6"/>
  <c r="BA30" i="6"/>
  <c r="BF13" i="4"/>
  <c r="BF15" i="4" s="1"/>
  <c r="AZ30" i="6"/>
  <c r="BD13" i="4"/>
  <c r="BD15" i="4" s="1"/>
  <c r="BC13" i="4"/>
  <c r="BC15" i="4" s="1"/>
  <c r="AW30" i="6"/>
  <c r="AV30" i="6"/>
  <c r="AZ13" i="4"/>
  <c r="AZ15" i="4" s="1"/>
  <c r="G23" i="6"/>
  <c r="AS30" i="6"/>
  <c r="AW13" i="4"/>
  <c r="AW15" i="4" s="1"/>
  <c r="AQ30" i="6"/>
  <c r="AP30" i="6"/>
  <c r="AT13" i="4"/>
  <c r="AT15" i="4" s="1"/>
  <c r="AO30" i="6"/>
  <c r="AN30" i="6"/>
  <c r="AR13" i="4"/>
  <c r="AR15" i="4" s="1"/>
  <c r="AL30" i="6"/>
  <c r="AP13" i="4"/>
  <c r="AP15" i="4" s="1"/>
  <c r="AJ30" i="6"/>
  <c r="AN13" i="4"/>
  <c r="AN15" i="4" s="1"/>
  <c r="F23" i="6"/>
  <c r="AL13" i="4"/>
  <c r="AL15" i="4" s="1"/>
  <c r="AG30" i="6"/>
  <c r="AK13" i="4"/>
  <c r="AK15" i="4" s="1"/>
  <c r="AJ13" i="4"/>
  <c r="AJ15" i="4" s="1"/>
  <c r="AE30" i="6"/>
  <c r="AI13" i="4"/>
  <c r="AI15" i="4" s="1"/>
  <c r="AC30" i="6"/>
  <c r="AG13" i="4"/>
  <c r="AG15" i="4" s="1"/>
  <c r="AB30" i="6"/>
  <c r="AF13" i="4"/>
  <c r="AF15" i="4" s="1"/>
  <c r="AE13" i="4"/>
  <c r="AE15" i="4" s="1"/>
  <c r="AD13" i="4"/>
  <c r="AD15" i="4" s="1"/>
  <c r="AC13" i="4"/>
  <c r="AC15" i="4" s="1"/>
  <c r="X30" i="6"/>
  <c r="AB13" i="4"/>
  <c r="AB15" i="4" s="1"/>
  <c r="AA13" i="4"/>
  <c r="E13" i="4" s="1"/>
  <c r="Z13" i="4"/>
  <c r="Z15" i="4" s="1"/>
  <c r="U30" i="6"/>
  <c r="Y13" i="4"/>
  <c r="Y15" i="4" s="1"/>
  <c r="T30" i="6"/>
  <c r="X13" i="4"/>
  <c r="X15" i="4" s="1"/>
  <c r="R30" i="6"/>
  <c r="V13" i="4"/>
  <c r="V15" i="4" s="1"/>
  <c r="U13" i="4"/>
  <c r="U15" i="4" s="1"/>
  <c r="T13" i="4"/>
  <c r="T15" i="4" s="1"/>
  <c r="N30" i="6"/>
  <c r="R13" i="4"/>
  <c r="R15" i="4" s="1"/>
  <c r="Q13" i="4"/>
  <c r="Q15" i="4" s="1"/>
  <c r="L30" i="6"/>
  <c r="BR9" i="6" l="1"/>
  <c r="BW12" i="4"/>
  <c r="M12" i="4" s="1"/>
  <c r="I5" i="6"/>
  <c r="AM30" i="6"/>
  <c r="AU13" i="4"/>
  <c r="AU15" i="4" s="1"/>
  <c r="AU16" i="4" s="1"/>
  <c r="AU17" i="4" s="1"/>
  <c r="AU18" i="4" s="1"/>
  <c r="BB13" i="4"/>
  <c r="BB15" i="4" s="1"/>
  <c r="BC16" i="4" s="1"/>
  <c r="BC17" i="4" s="1"/>
  <c r="BC18" i="4" s="1"/>
  <c r="BC30" i="6"/>
  <c r="BT13" i="4"/>
  <c r="BT15" i="4" s="1"/>
  <c r="BU16" i="4" s="1"/>
  <c r="BU17" i="4" s="1"/>
  <c r="BU18" i="4" s="1"/>
  <c r="R16" i="4"/>
  <c r="R17" i="4" s="1"/>
  <c r="R18" i="4" s="1"/>
  <c r="Z30" i="6"/>
  <c r="BD16" i="4"/>
  <c r="BD17" i="4" s="1"/>
  <c r="BD18" i="4" s="1"/>
  <c r="P30" i="6"/>
  <c r="AD16" i="4"/>
  <c r="AD17" i="4" s="1"/>
  <c r="AD18" i="4" s="1"/>
  <c r="AD30" i="6"/>
  <c r="AM13" i="4"/>
  <c r="AV13" i="4"/>
  <c r="AV15" i="4" s="1"/>
  <c r="BA13" i="4"/>
  <c r="BA15" i="4" s="1"/>
  <c r="BA16" i="4" s="1"/>
  <c r="BA17" i="4" s="1"/>
  <c r="BA18" i="4" s="1"/>
  <c r="BE13" i="4"/>
  <c r="BE15" i="4" s="1"/>
  <c r="BF16" i="4" s="1"/>
  <c r="BF17" i="4" s="1"/>
  <c r="BF18" i="4" s="1"/>
  <c r="BI16" i="4"/>
  <c r="BI17" i="4" s="1"/>
  <c r="BI18" i="4" s="1"/>
  <c r="BN13" i="4"/>
  <c r="BN15" i="4" s="1"/>
  <c r="BN16" i="4" s="1"/>
  <c r="BN17" i="4" s="1"/>
  <c r="BN18" i="4" s="1"/>
  <c r="BE30" i="6"/>
  <c r="V16" i="4"/>
  <c r="V17" i="4" s="1"/>
  <c r="V18" i="4" s="1"/>
  <c r="AA30" i="6"/>
  <c r="H23" i="6"/>
  <c r="BP30" i="6"/>
  <c r="W30" i="6"/>
  <c r="AK16" i="4"/>
  <c r="AK17" i="4" s="1"/>
  <c r="AK18" i="4" s="1"/>
  <c r="AO13" i="4"/>
  <c r="AO15" i="4" s="1"/>
  <c r="AP16" i="4" s="1"/>
  <c r="AP17" i="4" s="1"/>
  <c r="AP18" i="4" s="1"/>
  <c r="AR30" i="6"/>
  <c r="AX30" i="6"/>
  <c r="BG13" i="4"/>
  <c r="BG15" i="4" s="1"/>
  <c r="BG16" i="4" s="1"/>
  <c r="BG17" i="4" s="1"/>
  <c r="BG18" i="4" s="1"/>
  <c r="O17" i="1"/>
  <c r="BF30" i="6"/>
  <c r="Z16" i="4"/>
  <c r="Z17" i="4" s="1"/>
  <c r="Z18" i="4" s="1"/>
  <c r="AK30" i="6"/>
  <c r="AX13" i="4"/>
  <c r="AX15" i="4" s="1"/>
  <c r="AX16" i="4" s="1"/>
  <c r="AX17" i="4" s="1"/>
  <c r="AX18" i="4" s="1"/>
  <c r="BQ13" i="4"/>
  <c r="BQ15" i="4" s="1"/>
  <c r="BQ16" i="4" s="1"/>
  <c r="BQ17" i="4" s="1"/>
  <c r="BQ18" i="4" s="1"/>
  <c r="S13" i="4"/>
  <c r="S15" i="4" s="1"/>
  <c r="S16" i="4" s="1"/>
  <c r="S17" i="4" s="1"/>
  <c r="S18" i="4" s="1"/>
  <c r="O30" i="6"/>
  <c r="W13" i="4"/>
  <c r="W15" i="4" s="1"/>
  <c r="X16" i="4" s="1"/>
  <c r="X17" i="4" s="1"/>
  <c r="X18" i="4" s="1"/>
  <c r="E23" i="6"/>
  <c r="AS13" i="4"/>
  <c r="AS15" i="4" s="1"/>
  <c r="AS16" i="4" s="1"/>
  <c r="AS17" i="4" s="1"/>
  <c r="AS18" i="4" s="1"/>
  <c r="BK13" i="4"/>
  <c r="K13" i="4" s="1"/>
  <c r="M30" i="6"/>
  <c r="S30" i="6"/>
  <c r="AF30" i="6"/>
  <c r="AI30" i="6"/>
  <c r="AY13" i="4"/>
  <c r="BD30" i="6"/>
  <c r="AQ13" i="4"/>
  <c r="AQ15" i="4" s="1"/>
  <c r="AQ16" i="4" s="1"/>
  <c r="AQ17" i="4" s="1"/>
  <c r="AQ18" i="4" s="1"/>
  <c r="AU30" i="6"/>
  <c r="BK30" i="6"/>
  <c r="BN30" i="6"/>
  <c r="U16" i="4"/>
  <c r="U17" i="4" s="1"/>
  <c r="U18" i="4" s="1"/>
  <c r="Q30" i="6"/>
  <c r="Y16" i="4"/>
  <c r="Y17" i="4" s="1"/>
  <c r="Y18" i="4" s="1"/>
  <c r="Y30" i="6"/>
  <c r="AL16" i="4"/>
  <c r="AL17" i="4" s="1"/>
  <c r="AL18" i="4" s="1"/>
  <c r="AY30" i="6"/>
  <c r="AJ16" i="4"/>
  <c r="AJ17" i="4" s="1"/>
  <c r="AJ18" i="4" s="1"/>
  <c r="AF16" i="4"/>
  <c r="AF17" i="4" s="1"/>
  <c r="AF18" i="4" s="1"/>
  <c r="AE16" i="4"/>
  <c r="AE17" i="4" s="1"/>
  <c r="AE18" i="4" s="1"/>
  <c r="BV16" i="4"/>
  <c r="BV17" i="4" s="1"/>
  <c r="BV18" i="4" s="1"/>
  <c r="AC16" i="4"/>
  <c r="AC17" i="4" s="1"/>
  <c r="AC18" i="4" s="1"/>
  <c r="AG16" i="4"/>
  <c r="AG17" i="4" s="1"/>
  <c r="AG18" i="4" s="1"/>
  <c r="BM16" i="4"/>
  <c r="BM17" i="4" s="1"/>
  <c r="BM18" i="4" s="1"/>
  <c r="BP16" i="4"/>
  <c r="BP17" i="4" s="1"/>
  <c r="BP18" i="4" s="1"/>
  <c r="BJ16" i="4"/>
  <c r="BJ17" i="4" s="1"/>
  <c r="BJ18" i="4" s="1"/>
  <c r="BS16" i="4"/>
  <c r="BS17" i="4" s="1"/>
  <c r="BS18" i="4" s="1"/>
  <c r="P13" i="4"/>
  <c r="P15" i="4" s="1"/>
  <c r="H25" i="6"/>
  <c r="AA15" i="4"/>
  <c r="AH13" i="4"/>
  <c r="AH15" i="4" s="1"/>
  <c r="AH16" i="4" s="1"/>
  <c r="AH17" i="4" s="1"/>
  <c r="AH18" i="4" s="1"/>
  <c r="BG30" i="6"/>
  <c r="AV16" i="4" l="1"/>
  <c r="AV17" i="4" s="1"/>
  <c r="AV18" i="4" s="1"/>
  <c r="BW11" i="4"/>
  <c r="I9" i="6"/>
  <c r="BR19" i="6"/>
  <c r="BO16" i="4"/>
  <c r="BO17" i="4" s="1"/>
  <c r="BO18" i="4" s="1"/>
  <c r="AO16" i="4"/>
  <c r="AO17" i="4" s="1"/>
  <c r="AO18" i="4" s="1"/>
  <c r="BT16" i="4"/>
  <c r="BT17" i="4" s="1"/>
  <c r="BT18" i="4" s="1"/>
  <c r="AW16" i="4"/>
  <c r="AW17" i="4" s="1"/>
  <c r="AW18" i="4" s="1"/>
  <c r="BR16" i="4"/>
  <c r="BR17" i="4" s="1"/>
  <c r="BR18" i="4" s="1"/>
  <c r="BE16" i="4"/>
  <c r="BE17" i="4" s="1"/>
  <c r="BE18" i="4" s="1"/>
  <c r="T16" i="4"/>
  <c r="T17" i="4" s="1"/>
  <c r="T18" i="4" s="1"/>
  <c r="W16" i="4"/>
  <c r="W17" i="4" s="1"/>
  <c r="W18" i="4" s="1"/>
  <c r="V30" i="6"/>
  <c r="E17" i="1"/>
  <c r="AM15" i="4"/>
  <c r="G15" i="4" s="1"/>
  <c r="G13" i="4"/>
  <c r="BK15" i="4"/>
  <c r="BK16" i="4" s="1"/>
  <c r="BK17" i="4" s="1"/>
  <c r="BK18" i="4" s="1"/>
  <c r="BH16" i="4"/>
  <c r="BH17" i="4" s="1"/>
  <c r="BH18" i="4" s="1"/>
  <c r="E25" i="6"/>
  <c r="BB16" i="4"/>
  <c r="BB17" i="4" s="1"/>
  <c r="BB18" i="4" s="1"/>
  <c r="AY15" i="4"/>
  <c r="I15" i="4" s="1"/>
  <c r="I13" i="4"/>
  <c r="AT16" i="4"/>
  <c r="AT17" i="4" s="1"/>
  <c r="AT18" i="4" s="1"/>
  <c r="AR16" i="4"/>
  <c r="AR17" i="4" s="1"/>
  <c r="AR18" i="4" s="1"/>
  <c r="H30" i="6"/>
  <c r="AJ17" i="10"/>
  <c r="E15" i="4"/>
  <c r="P16" i="4"/>
  <c r="Q16" i="4"/>
  <c r="Q17" i="4" s="1"/>
  <c r="Q18" i="4" s="1"/>
  <c r="G17" i="1"/>
  <c r="F25" i="6"/>
  <c r="AH30" i="6"/>
  <c r="AB16" i="4"/>
  <c r="AA16" i="4"/>
  <c r="AA17" i="4" s="1"/>
  <c r="AA18" i="4" s="1"/>
  <c r="G25" i="6"/>
  <c r="AT30" i="6"/>
  <c r="K17" i="1"/>
  <c r="AI16" i="4"/>
  <c r="AI17" i="4" s="1"/>
  <c r="AI18" i="4" s="1"/>
  <c r="BR25" i="6" l="1"/>
  <c r="BW13" i="4"/>
  <c r="M13" i="4" s="1"/>
  <c r="I23" i="6"/>
  <c r="S16" i="1"/>
  <c r="I19" i="6"/>
  <c r="M11" i="4"/>
  <c r="K15" i="4"/>
  <c r="BL16" i="4"/>
  <c r="BL17" i="4" s="1"/>
  <c r="AM16" i="4"/>
  <c r="AM17" i="4" s="1"/>
  <c r="AM18" i="4" s="1"/>
  <c r="AN16" i="4"/>
  <c r="AN17" i="4" s="1"/>
  <c r="AN18" i="4" s="1"/>
  <c r="E30" i="6"/>
  <c r="AG17" i="10"/>
  <c r="AY16" i="4"/>
  <c r="AY17" i="4" s="1"/>
  <c r="AY18" i="4" s="1"/>
  <c r="AZ16" i="4"/>
  <c r="E16" i="4"/>
  <c r="P17" i="4"/>
  <c r="AB17" i="4"/>
  <c r="F30" i="6"/>
  <c r="AH17" i="10"/>
  <c r="H17" i="1"/>
  <c r="I17" i="1"/>
  <c r="M17" i="1"/>
  <c r="L17" i="1"/>
  <c r="P17" i="1"/>
  <c r="Q17" i="1"/>
  <c r="G30" i="6"/>
  <c r="AI17" i="10"/>
  <c r="T16" i="1" l="1"/>
  <c r="U16" i="1"/>
  <c r="I25" i="6"/>
  <c r="AK17" i="10" s="1"/>
  <c r="BR30" i="6"/>
  <c r="S17" i="1"/>
  <c r="AK16" i="10"/>
  <c r="BW15" i="4"/>
  <c r="G16" i="4"/>
  <c r="I17" i="4"/>
  <c r="I16" i="4"/>
  <c r="K16" i="4"/>
  <c r="AZ17" i="4"/>
  <c r="I18" i="4"/>
  <c r="P18" i="4"/>
  <c r="E17" i="4"/>
  <c r="BL18" i="4"/>
  <c r="G17" i="4"/>
  <c r="AB18" i="4"/>
  <c r="G18" i="4" s="1"/>
  <c r="T17" i="1" l="1"/>
  <c r="U17" i="1"/>
  <c r="BW16" i="4"/>
  <c r="M15" i="4"/>
  <c r="I30" i="6"/>
  <c r="K17" i="4"/>
  <c r="AZ18" i="4"/>
  <c r="K18" i="4" s="1"/>
  <c r="E18" i="4"/>
  <c r="BW17" i="4" l="1"/>
  <c r="M16" i="4"/>
  <c r="T22" i="1"/>
  <c r="U22" i="1"/>
  <c r="BW18" i="4" l="1"/>
  <c r="M17" i="4"/>
  <c r="H23" i="4" l="1"/>
  <c r="H22" i="4" a="1"/>
  <c r="H22" i="4" s="1"/>
  <c r="M18" i="4"/>
  <c r="H24" i="4" l="1"/>
  <c r="AH25" i="10" s="1"/>
  <c r="G24" i="1" l="1"/>
  <c r="H27" i="4"/>
  <c r="G25" i="1" s="1"/>
  <c r="AH26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A33C3CB6-43C2-4049-8905-7A2657C92E16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2" authorId="0" shapeId="0" xr:uid="{4C06EA7C-C8CF-45D8-B78C-B4349144C3EA}">
      <text/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64659713-159E-49D9-9B91-FB8B095DF188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2B02EC7-5C60-445F-8362-FE97B98A14D0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1250D89E-6BBE-437F-97CC-CBA5CDE3FB0D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2BE4698C-4094-47E7-972D-63B31044C2A2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E7AE4B58-B803-4AFD-97C7-F2165ED0AA3B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B3B6937E-3429-4267-AFBC-F3D2C2B88995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<sst xmlns="http://schemas.openxmlformats.org/spreadsheetml/2006/main" count="336" uniqueCount="234">
  <si>
    <t>info</t>
  </si>
  <si>
    <t>5-yr Summary</t>
  </si>
  <si>
    <t>y1</t>
  </si>
  <si>
    <t>y2</t>
  </si>
  <si>
    <t>y/y</t>
  </si>
  <si>
    <t>y/y %</t>
  </si>
  <si>
    <t>y3</t>
  </si>
  <si>
    <t>y4</t>
  </si>
  <si>
    <t>y5</t>
  </si>
  <si>
    <t>Capital Expenditures</t>
  </si>
  <si>
    <t>Sensitivity</t>
  </si>
  <si>
    <t>Expenditures</t>
  </si>
  <si>
    <t>Depreciation expense</t>
  </si>
  <si>
    <t>Drivers</t>
  </si>
  <si>
    <t>Base</t>
  </si>
  <si>
    <t>Units</t>
  </si>
  <si>
    <t>COGS</t>
  </si>
  <si>
    <t>Balance</t>
  </si>
  <si>
    <t>Income Statement</t>
  </si>
  <si>
    <t>Revenue</t>
  </si>
  <si>
    <t>Credit</t>
  </si>
  <si>
    <t>Cost of Goods Sold</t>
  </si>
  <si>
    <t>Payroll expense</t>
  </si>
  <si>
    <t>Overhead expense</t>
  </si>
  <si>
    <t>EBIT</t>
  </si>
  <si>
    <t>Interest expense</t>
  </si>
  <si>
    <t>Payroll</t>
  </si>
  <si>
    <t>Net Earnings</t>
  </si>
  <si>
    <t>Balance Sheet</t>
  </si>
  <si>
    <t>Assets</t>
  </si>
  <si>
    <t>Overhead</t>
  </si>
  <si>
    <t>Liabilities</t>
  </si>
  <si>
    <t>Equity</t>
  </si>
  <si>
    <t>Cash Flow Statement</t>
  </si>
  <si>
    <t>Cash from Operations</t>
  </si>
  <si>
    <t>Cash from Investing</t>
  </si>
  <si>
    <t>Cash from Financing</t>
  </si>
  <si>
    <t>Valuation</t>
  </si>
  <si>
    <t>Discounted Cash Flow</t>
  </si>
  <si>
    <t>Enterprise</t>
  </si>
  <si>
    <t>Industry Multiple</t>
  </si>
  <si>
    <t>EV/EBITDA</t>
  </si>
  <si>
    <t>P/E ratio</t>
  </si>
  <si>
    <t>Analysis</t>
  </si>
  <si>
    <t>Taxed EBIT</t>
  </si>
  <si>
    <t>Retained Earnings</t>
  </si>
  <si>
    <t>Free Cash Flow</t>
  </si>
  <si>
    <t>Taxes</t>
  </si>
  <si>
    <t>+ Depreciation</t>
  </si>
  <si>
    <t>- CapEx</t>
  </si>
  <si>
    <t>plus Current Assets</t>
  </si>
  <si>
    <t>minus Cash</t>
  </si>
  <si>
    <t>minus Curr Liabilities</t>
  </si>
  <si>
    <t>add back s/t debt</t>
  </si>
  <si>
    <t>Working capital</t>
  </si>
  <si>
    <t>∆ in working capital</t>
  </si>
  <si>
    <t>- ∆ in Wkg Cap</t>
  </si>
  <si>
    <t xml:space="preserve">Discounted Cash Flow </t>
  </si>
  <si>
    <t>Industry Comps</t>
  </si>
  <si>
    <t>PV FCF</t>
  </si>
  <si>
    <t>PV terminal</t>
  </si>
  <si>
    <t>EBITDA</t>
  </si>
  <si>
    <t>Enterprise value</t>
  </si>
  <si>
    <t>- Debt y2</t>
  </si>
  <si>
    <t>Price/Earnings</t>
  </si>
  <si>
    <t>+ Cash y2</t>
  </si>
  <si>
    <t>Earnings</t>
  </si>
  <si>
    <t>Equity value</t>
  </si>
  <si>
    <t>Depreciation</t>
  </si>
  <si>
    <t>Accounts Receivable</t>
  </si>
  <si>
    <t>Inventory</t>
  </si>
  <si>
    <t>Accounts Payable</t>
  </si>
  <si>
    <t>Dividends</t>
  </si>
  <si>
    <t>Cash in/out</t>
  </si>
  <si>
    <t>chk</t>
  </si>
  <si>
    <t>Cash</t>
  </si>
  <si>
    <t>Current Assets</t>
  </si>
  <si>
    <t>Facilities</t>
  </si>
  <si>
    <t>Equipment</t>
  </si>
  <si>
    <t>Fixtures</t>
  </si>
  <si>
    <t>Intangibles</t>
  </si>
  <si>
    <t>Capital Expenses</t>
  </si>
  <si>
    <t>Accumulated Deprec</t>
  </si>
  <si>
    <t>Net Fixed Assets</t>
  </si>
  <si>
    <t>Current Liabilities</t>
  </si>
  <si>
    <t>Common stock</t>
  </si>
  <si>
    <r>
      <t xml:space="preserve">Profit </t>
    </r>
    <r>
      <rPr>
        <sz val="12"/>
        <rFont val="Calibri"/>
        <family val="2"/>
        <scheme val="minor"/>
      </rPr>
      <t>&amp;</t>
    </r>
    <r>
      <rPr>
        <sz val="15"/>
        <rFont val="Calibri"/>
        <family val="2"/>
        <scheme val="minor"/>
      </rPr>
      <t xml:space="preserve"> Loss</t>
    </r>
  </si>
  <si>
    <t>Gross Margin</t>
  </si>
  <si>
    <t>Gross Margin %</t>
  </si>
  <si>
    <t>Operating expense</t>
  </si>
  <si>
    <t>Income taxes</t>
  </si>
  <si>
    <t>Net Margin %</t>
  </si>
  <si>
    <t>Capital Expense</t>
  </si>
  <si>
    <t>Facility</t>
  </si>
  <si>
    <t>Equip</t>
  </si>
  <si>
    <t>Fixture</t>
  </si>
  <si>
    <t>Intang</t>
  </si>
  <si>
    <t>Land</t>
  </si>
  <si>
    <t>All other</t>
  </si>
  <si>
    <t>Accum. Depreciation</t>
  </si>
  <si>
    <t>Starting cash</t>
  </si>
  <si>
    <t>New Capital</t>
  </si>
  <si>
    <t>Forecasted sales</t>
  </si>
  <si>
    <t>Cash collected</t>
  </si>
  <si>
    <t>Forecasted COGS</t>
  </si>
  <si>
    <t>Cash disbursed</t>
  </si>
  <si>
    <r>
      <t>∑ Cash in/</t>
    </r>
    <r>
      <rPr>
        <b/>
        <sz val="9.5"/>
        <color rgb="FFFF0000"/>
        <rFont val="Calibri"/>
        <family val="2"/>
        <scheme val="minor"/>
      </rPr>
      <t>out</t>
    </r>
  </si>
  <si>
    <t>Ending cash</t>
  </si>
  <si>
    <t>Capitalization</t>
  </si>
  <si>
    <t>Terms</t>
  </si>
  <si>
    <t>5-year Summary</t>
  </si>
  <si>
    <t>Salvage</t>
  </si>
  <si>
    <t xml:space="preserve">Price </t>
  </si>
  <si>
    <t xml:space="preserve">COGS </t>
  </si>
  <si>
    <t>Pay</t>
  </si>
  <si>
    <t>Mo</t>
  </si>
  <si>
    <t>Catgry</t>
  </si>
  <si>
    <t>$</t>
  </si>
  <si>
    <t>Stop</t>
  </si>
  <si>
    <t>Exp</t>
  </si>
  <si>
    <t>FTE</t>
  </si>
  <si>
    <t>Item 1</t>
  </si>
  <si>
    <t>Rent</t>
  </si>
  <si>
    <t xml:space="preserve"> Enterprise</t>
  </si>
  <si>
    <t xml:space="preserve"> EV/EBITDA</t>
  </si>
  <si>
    <t xml:space="preserve"> Equity</t>
  </si>
  <si>
    <t xml:space="preserve"> P/E</t>
  </si>
  <si>
    <t>CapEx</t>
  </si>
  <si>
    <t>Income</t>
  </si>
  <si>
    <t>Current assets</t>
  </si>
  <si>
    <t>Operations</t>
  </si>
  <si>
    <t>Free cash flow</t>
  </si>
  <si>
    <t>Ratios</t>
  </si>
  <si>
    <t>New capital</t>
  </si>
  <si>
    <t>Gross margin</t>
  </si>
  <si>
    <t>Net fixed</t>
  </si>
  <si>
    <t>Investing</t>
  </si>
  <si>
    <t>Terminal</t>
  </si>
  <si>
    <t>Distress</t>
  </si>
  <si>
    <t>Collections</t>
  </si>
  <si>
    <t>Accum deprec</t>
  </si>
  <si>
    <t>Cash fr. equity</t>
  </si>
  <si>
    <t>Disbursements</t>
  </si>
  <si>
    <t>Current liabs</t>
  </si>
  <si>
    <t>Cash fr. debt</t>
  </si>
  <si>
    <t>Equity bridge</t>
  </si>
  <si>
    <t>Cost of capital</t>
  </si>
  <si>
    <t>Adjusted cash</t>
  </si>
  <si>
    <t>Net earnings</t>
  </si>
  <si>
    <t>L/T liabilities</t>
  </si>
  <si>
    <t>Econ. profit</t>
  </si>
  <si>
    <t>Borrow/repay</t>
  </si>
  <si>
    <t>Net salvage</t>
  </si>
  <si>
    <t>Retained</t>
  </si>
  <si>
    <t>Check balance</t>
  </si>
  <si>
    <t>Breakeven</t>
  </si>
  <si>
    <t>Item 2</t>
  </si>
  <si>
    <t>Utilities</t>
  </si>
  <si>
    <t>CTO</t>
  </si>
  <si>
    <t>Systems</t>
  </si>
  <si>
    <t>Developer/1</t>
  </si>
  <si>
    <t>Trademark</t>
  </si>
  <si>
    <t>Item 3</t>
  </si>
  <si>
    <t>Supplies</t>
  </si>
  <si>
    <t>Developer/2</t>
  </si>
  <si>
    <r>
      <t>Note: Drivers tab is populated with sample data.  Select</t>
    </r>
    <r>
      <rPr>
        <sz val="9"/>
        <color rgb="FF9A0000"/>
        <rFont val="Calibri"/>
        <family val="2"/>
        <scheme val="minor"/>
      </rPr>
      <t xml:space="preserve"> &gt; </t>
    </r>
    <r>
      <rPr>
        <i/>
        <sz val="9"/>
        <color rgb="FF9A0000"/>
        <rFont val="Calibri"/>
        <family val="2"/>
        <scheme val="minor"/>
      </rPr>
      <t>Delete to clear cells.</t>
    </r>
  </si>
  <si>
    <t>Collect</t>
  </si>
  <si>
    <t>Misc.</t>
  </si>
  <si>
    <t xml:space="preserve"> SKU</t>
  </si>
  <si>
    <t xml:space="preserve"> Title / Level</t>
  </si>
  <si>
    <t xml:space="preserve"> Expense</t>
  </si>
  <si>
    <t xml:space="preserve"> Purchase</t>
  </si>
  <si>
    <r>
      <rPr>
        <sz val="4"/>
        <color rgb="FF000000"/>
        <rFont val="Segoe UI"/>
        <family val="2"/>
      </rPr>
      <t xml:space="preserve"> </t>
    </r>
    <r>
      <rPr>
        <sz val="8.5"/>
        <color rgb="FF000000"/>
        <rFont val="Segoe UI"/>
        <family val="2"/>
      </rPr>
      <t>Mo</t>
    </r>
  </si>
  <si>
    <t xml:space="preserve"> Cost of capital</t>
  </si>
  <si>
    <t>Other Current Assets</t>
  </si>
  <si>
    <t>Balance sheet</t>
  </si>
  <si>
    <t>Income statement</t>
  </si>
  <si>
    <t>Other Current Liabilities</t>
  </si>
  <si>
    <r>
      <t>#</t>
    </r>
    <r>
      <rPr>
        <sz val="6"/>
        <color rgb="FF000000"/>
        <rFont val="Segoe UI"/>
        <family val="2"/>
      </rPr>
      <t xml:space="preserve"> </t>
    </r>
    <r>
      <rPr>
        <sz val="8.5"/>
        <color rgb="FF000000"/>
        <rFont val="Segoe UI"/>
        <family val="2"/>
      </rPr>
      <t>mos</t>
    </r>
  </si>
  <si>
    <t>Check</t>
  </si>
  <si>
    <t>Interest on S/T debt</t>
  </si>
  <si>
    <t>Interest on L/T debt</t>
  </si>
  <si>
    <t>Short-term Debt</t>
  </si>
  <si>
    <t>Long-term debt</t>
  </si>
  <si>
    <t>Short term debt</t>
  </si>
  <si>
    <t>Long-term Debt</t>
  </si>
  <si>
    <t>OpEx</t>
  </si>
  <si>
    <t>Credit collections</t>
  </si>
  <si>
    <t>Cash sales</t>
  </si>
  <si>
    <t>Cash spend</t>
  </si>
  <si>
    <t>Credit remittances</t>
  </si>
  <si>
    <t>Sales Proceeds</t>
  </si>
  <si>
    <t>COGS Payments</t>
  </si>
  <si>
    <t>Indirect</t>
  </si>
  <si>
    <t>∆ Other Wkg Capital</t>
  </si>
  <si>
    <t>Cash Flow</t>
  </si>
  <si>
    <t xml:space="preserve">  Cash</t>
  </si>
  <si>
    <t xml:space="preserve">  Total</t>
  </si>
  <si>
    <t xml:space="preserve">  WACC</t>
  </si>
  <si>
    <t xml:space="preserve">  EV/EBITDA</t>
  </si>
  <si>
    <t xml:space="preserve">  Price/Earnings</t>
  </si>
  <si>
    <t xml:space="preserve">  Salary load</t>
  </si>
  <si>
    <t xml:space="preserve">  Income tax</t>
  </si>
  <si>
    <t xml:space="preserve">  Inventory/AP</t>
  </si>
  <si>
    <t xml:space="preserve">     % of Sales</t>
  </si>
  <si>
    <t xml:space="preserve">     % of OpEx</t>
  </si>
  <si>
    <t xml:space="preserve"> DCF</t>
  </si>
  <si>
    <t>Valuaton</t>
  </si>
  <si>
    <r>
      <t>Sh</t>
    </r>
    <r>
      <rPr>
        <sz val="6"/>
        <color rgb="FF000000"/>
        <rFont val="Segoe UI"/>
        <family val="2"/>
      </rPr>
      <t xml:space="preserve"> </t>
    </r>
    <r>
      <rPr>
        <sz val="8.5"/>
        <color rgb="FF000000"/>
        <rFont val="Segoe UI"/>
        <family val="2"/>
      </rPr>
      <t>Debt</t>
    </r>
  </si>
  <si>
    <r>
      <t>Lg</t>
    </r>
    <r>
      <rPr>
        <sz val="6"/>
        <color rgb="FF000000"/>
        <rFont val="Segoe UI"/>
        <family val="2"/>
      </rPr>
      <t xml:space="preserve"> </t>
    </r>
    <r>
      <rPr>
        <sz val="8.5"/>
        <color rgb="FF000000"/>
        <rFont val="Segoe UI"/>
        <family val="2"/>
      </rPr>
      <t>Debt</t>
    </r>
  </si>
  <si>
    <r>
      <t xml:space="preserve">  Short</t>
    </r>
    <r>
      <rPr>
        <sz val="4"/>
        <color rgb="FF000000"/>
        <rFont val="Segoe UI"/>
        <family val="2"/>
      </rPr>
      <t xml:space="preserve"> </t>
    </r>
    <r>
      <rPr>
        <sz val="8.5"/>
        <color rgb="FF000000"/>
        <rFont val="Segoe UI"/>
        <family val="2"/>
      </rPr>
      <t>/</t>
    </r>
    <r>
      <rPr>
        <sz val="4"/>
        <color rgb="FF000000"/>
        <rFont val="Segoe UI"/>
        <family val="2"/>
      </rPr>
      <t xml:space="preserve"> </t>
    </r>
    <r>
      <rPr>
        <sz val="8.5"/>
        <color rgb="FF000000"/>
        <rFont val="Segoe UI"/>
        <family val="2"/>
      </rPr>
      <t>T debt</t>
    </r>
  </si>
  <si>
    <r>
      <t xml:space="preserve">  Long</t>
    </r>
    <r>
      <rPr>
        <sz val="4"/>
        <color rgb="FF000000"/>
        <rFont val="Segoe UI"/>
        <family val="2"/>
      </rPr>
      <t xml:space="preserve"> </t>
    </r>
    <r>
      <rPr>
        <sz val="8.5"/>
        <color rgb="FF000000"/>
        <rFont val="Segoe UI"/>
        <family val="2"/>
      </rPr>
      <t>/T</t>
    </r>
    <r>
      <rPr>
        <sz val="4"/>
        <color rgb="FF000000"/>
        <rFont val="Segoe UI"/>
        <family val="2"/>
      </rPr>
      <t xml:space="preserve"> </t>
    </r>
    <r>
      <rPr>
        <sz val="8.5"/>
        <color rgb="FF000000"/>
        <rFont val="Segoe UI"/>
        <family val="2"/>
      </rPr>
      <t>debt</t>
    </r>
  </si>
  <si>
    <t xml:space="preserve">  Ret on equity</t>
  </si>
  <si>
    <t xml:space="preserve">  Terminal gr.</t>
  </si>
  <si>
    <t xml:space="preserve">  Other C.A.</t>
  </si>
  <si>
    <t xml:space="preserve">  Other C.L.</t>
  </si>
  <si>
    <t xml:space="preserve"> Spend</t>
  </si>
  <si>
    <t xml:space="preserve"> Deprec</t>
  </si>
  <si>
    <t xml:space="preserve"> Rev</t>
  </si>
  <si>
    <t xml:space="preserve"> COGS</t>
  </si>
  <si>
    <t xml:space="preserve"> OpEx</t>
  </si>
  <si>
    <t xml:space="preserve"> Interest</t>
  </si>
  <si>
    <t xml:space="preserve"> Earnings</t>
  </si>
  <si>
    <t xml:space="preserve"> Assets</t>
  </si>
  <si>
    <t xml:space="preserve"> Debt</t>
  </si>
  <si>
    <t xml:space="preserve"> Ops</t>
  </si>
  <si>
    <t xml:space="preserve"> Invest</t>
  </si>
  <si>
    <t xml:space="preserve"> Finance</t>
  </si>
  <si>
    <r>
      <t xml:space="preserve"> In/</t>
    </r>
    <r>
      <rPr>
        <sz val="8.5"/>
        <color rgb="FFFF0000"/>
        <rFont val="Segoe UI"/>
        <family val="2"/>
      </rPr>
      <t>out</t>
    </r>
  </si>
  <si>
    <t xml:space="preserve"> Comps</t>
  </si>
  <si>
    <t>Divs</t>
  </si>
  <si>
    <t xml:space="preserve">  Net 30</t>
  </si>
  <si>
    <r>
      <t xml:space="preserve">     Incr/</t>
    </r>
    <r>
      <rPr>
        <sz val="8.5"/>
        <color rgb="FFFF0000"/>
        <rFont val="Segoe UI"/>
        <family val="2"/>
      </rPr>
      <t>decr</t>
    </r>
    <r>
      <rPr>
        <sz val="8.5"/>
        <rFont val="Segoe UI"/>
        <family val="2"/>
      </rPr>
      <t xml:space="preserve"> /yr</t>
    </r>
  </si>
  <si>
    <r>
      <rPr>
        <sz val="6"/>
        <color theme="0"/>
        <rFont val="Segoe UI"/>
        <family val="2"/>
      </rPr>
      <t xml:space="preserve"> </t>
    </r>
    <r>
      <rPr>
        <b/>
        <sz val="8"/>
        <color theme="0"/>
        <rFont val="Segoe UI"/>
        <family val="2"/>
      </rPr>
      <t>Info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</si>
</sst>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#,##0;[Red]#,##0"/>
    <numFmt numFmtId="165" formatCode="&quot;m&quot;0"/>
    <numFmt numFmtId="166" formatCode="0.0%;[Red]0.0%"/>
    <numFmt numFmtId="167" formatCode="&quot;y&quot;0"/>
    <numFmt numFmtId="168" formatCode="0.0%"/>
    <numFmt numFmtId="169" formatCode="#,##0.00;[Red]#,##0.00"/>
    <numFmt numFmtId="170" formatCode="#,##0.0;[Red]#,##0.0"/>
    <numFmt numFmtId="171" formatCode="#,##0;[Red]\-#,##0"/>
    <numFmt numFmtId="172" formatCode="#,##0.0;[Red]\-#,##0.0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Verdana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0"/>
      <color rgb="FF0303FF"/>
      <name val="Segoe UI Semibold"/>
      <family val="2"/>
    </font>
    <font>
      <b/>
      <sz val="8"/>
      <name val="Calibri"/>
      <family val="2"/>
      <scheme val="minor"/>
    </font>
    <font>
      <sz val="15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C00000"/>
      <name val="Calibri"/>
      <family val="2"/>
      <scheme val="minor"/>
    </font>
    <font>
      <sz val="10"/>
      <name val="Calibri"/>
      <family val="2"/>
      <scheme val="minor"/>
    </font>
    <font>
      <sz val="9.5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9.5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name val="Calibri"/>
      <family val="2"/>
      <scheme val="minor"/>
    </font>
    <font>
      <sz val="9.5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9.5"/>
      <name val="Calibri"/>
      <family val="2"/>
      <scheme val="minor"/>
    </font>
    <font>
      <u/>
      <sz val="9.5"/>
      <name val="Calibri"/>
      <family val="2"/>
      <scheme val="minor"/>
    </font>
    <font>
      <sz val="9"/>
      <name val="Segoe UI Variable Display"/>
    </font>
    <font>
      <sz val="9"/>
      <name val="Segoe UI Variable Display Semib"/>
    </font>
    <font>
      <sz val="9"/>
      <color rgb="FF548235"/>
      <name val="Calibri"/>
      <family val="2"/>
      <scheme val="minor"/>
    </font>
    <font>
      <sz val="9"/>
      <color rgb="FF548235"/>
      <name val="Wingdings"/>
      <charset val="2"/>
    </font>
    <font>
      <sz val="7"/>
      <color rgb="FF00A44A"/>
      <name val="Segoe UI Variable Display"/>
    </font>
    <font>
      <b/>
      <sz val="9"/>
      <name val="Segoe UI Variable Display"/>
    </font>
    <font>
      <b/>
      <i/>
      <sz val="9.5"/>
      <name val="Calibri"/>
      <family val="2"/>
      <scheme val="minor"/>
    </font>
    <font>
      <b/>
      <i/>
      <sz val="9"/>
      <name val="Segoe UI Variable Display"/>
    </font>
    <font>
      <i/>
      <sz val="9.5"/>
      <name val="Calibri"/>
      <family val="2"/>
      <scheme val="minor"/>
    </font>
    <font>
      <i/>
      <sz val="9"/>
      <name val="Segoe UI Variable Display"/>
    </font>
    <font>
      <sz val="9"/>
      <color theme="0"/>
      <name val="Segoe UI Variable Display"/>
    </font>
    <font>
      <b/>
      <sz val="9.5"/>
      <color rgb="FFFF0000"/>
      <name val="Calibri"/>
      <family val="2"/>
      <scheme val="minor"/>
    </font>
    <font>
      <sz val="8.5"/>
      <name val="Calibri"/>
      <family val="2"/>
      <scheme val="minor"/>
    </font>
    <font>
      <b/>
      <sz val="8.5"/>
      <name val="Calibri"/>
      <family val="2"/>
      <scheme val="minor"/>
    </font>
    <font>
      <b/>
      <sz val="9"/>
      <name val="Segoe UI Variable Display Semib"/>
    </font>
    <font>
      <sz val="12.5"/>
      <name val="Calibri"/>
      <family val="2"/>
      <scheme val="minor"/>
    </font>
    <font>
      <sz val="8.5"/>
      <name val="Segoe UI"/>
      <family val="2"/>
    </font>
    <font>
      <sz val="8.5"/>
      <color rgb="FF000000"/>
      <name val="Segoe UI"/>
      <family val="2"/>
    </font>
    <font>
      <sz val="8"/>
      <color rgb="FFC00000"/>
      <name val="Calibri"/>
      <family val="2"/>
      <scheme val="minor"/>
    </font>
    <font>
      <sz val="10"/>
      <color theme="1"/>
      <name val="Segoe UI Variable Display Semib"/>
    </font>
    <font>
      <sz val="10"/>
      <color theme="1"/>
      <name val="Calibri"/>
      <family val="2"/>
      <scheme val="minor"/>
    </font>
    <font>
      <b/>
      <sz val="10"/>
      <color theme="1"/>
      <name val="Segoe UI Semibold"/>
      <family val="2"/>
    </font>
    <font>
      <sz val="10"/>
      <color theme="1"/>
      <name val="Segoe UI Semibold"/>
      <family val="2"/>
    </font>
    <font>
      <sz val="8"/>
      <color theme="1"/>
      <name val="Segoe UI Variable Display Semib"/>
    </font>
    <font>
      <sz val="9"/>
      <color theme="1"/>
      <name val="Segoe UI"/>
      <family val="2"/>
    </font>
    <font>
      <sz val="8"/>
      <color theme="0" tint="-0.499984740745262"/>
      <name val="Calibri"/>
      <family val="2"/>
      <scheme val="minor"/>
    </font>
    <font>
      <sz val="9"/>
      <color rgb="FF9A0000"/>
      <name val="Calibri"/>
      <family val="2"/>
      <scheme val="minor"/>
    </font>
    <font>
      <i/>
      <sz val="9"/>
      <color rgb="FF9A0000"/>
      <name val="Calibri"/>
      <family val="2"/>
      <scheme val="minor"/>
    </font>
    <font>
      <sz val="4"/>
      <color rgb="FF000000"/>
      <name val="Segoe UI"/>
      <family val="2"/>
    </font>
    <font>
      <sz val="6"/>
      <color rgb="FF000000"/>
      <name val="Segoe UI"/>
      <family val="2"/>
    </font>
    <font>
      <sz val="8.5"/>
      <color rgb="FFFF0000"/>
      <name val="Segoe UI"/>
      <family val="2"/>
    </font>
    <font>
      <i/>
      <sz val="8"/>
      <name val="Calibri"/>
      <family val="2"/>
      <scheme val="minor"/>
    </font>
    <font>
      <i/>
      <sz val="9"/>
      <name val="Calibri"/>
      <family val="2"/>
      <scheme val="minor"/>
    </font>
    <font>
      <i/>
      <sz val="8.5"/>
      <name val="Calibri"/>
      <family val="2"/>
      <scheme val="minor"/>
    </font>
    <font>
      <sz val="9"/>
      <color rgb="FF000000"/>
      <name val="Segoe UI Semibold"/>
      <family val="2"/>
    </font>
    <font>
      <sz val="9"/>
      <name val="Segoe UI Semibold"/>
      <family val="2"/>
    </font>
    <font>
      <sz val="8"/>
      <name val="Segoe UI Semibold"/>
      <family val="2"/>
    </font>
    <font>
      <b/>
      <sz val="8"/>
      <name val="Segoe UI Semibold"/>
      <family val="2"/>
    </font>
    <font>
      <sz val="8.5"/>
      <name val="Segoe UI Semibold"/>
      <family val="2"/>
    </font>
    <font>
      <sz val="9"/>
      <name val="Segoe UI"/>
      <family val="2"/>
    </font>
    <font>
      <sz val="8.5"/>
      <color rgb="FF000000"/>
      <name val="Segoe UI Semibold"/>
      <family val="2"/>
    </font>
    <font>
      <sz val="8.5"/>
      <color theme="0" tint="-0.499984740745262"/>
      <name val="Segoe UI"/>
      <family val="2"/>
    </font>
    <font>
      <b/>
      <sz val="8"/>
      <color theme="0"/>
      <name val="Segoe UI"/>
      <family val="2"/>
    </font>
    <font>
      <sz val="6"/>
      <color theme="0"/>
      <name val="Segoe UI"/>
      <family val="2"/>
    </font>
    <font>
      <sz val="8.5"/>
      <color theme="0" tint="-0.34998626667073579"/>
      <name val="Segoe UI"/>
      <family val="2"/>
    </font>
    <font>
      <sz val="8"/>
      <color theme="0" tint="-0.3499862666707357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0F1F4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00000"/>
        <bgColor indexed="64"/>
      </patternFill>
    </fill>
  </fills>
  <borders count="7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A6A6A6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rgb="FFD9D9D9"/>
      </bottom>
      <diagonal/>
    </border>
    <border>
      <left style="hair">
        <color rgb="FFD9D9D9"/>
      </left>
      <right/>
      <top style="hair">
        <color rgb="FFD9D9D9"/>
      </top>
      <bottom style="hair">
        <color rgb="FFD9D9D9"/>
      </bottom>
      <diagonal/>
    </border>
    <border>
      <left style="thin">
        <color indexed="64"/>
      </left>
      <right/>
      <top style="hair">
        <color rgb="FFD9D9D9"/>
      </top>
      <bottom style="hair">
        <color rgb="FFD9D9D9"/>
      </bottom>
      <diagonal/>
    </border>
    <border>
      <left style="hair">
        <color theme="0" tint="-0.499984740745262"/>
      </left>
      <right style="hair">
        <color rgb="FFD9D9D9"/>
      </right>
      <top style="hair">
        <color rgb="FFD9D9D9"/>
      </top>
      <bottom style="hair">
        <color rgb="FFD9D9D9"/>
      </bottom>
      <diagonal/>
    </border>
    <border>
      <left/>
      <right style="thin">
        <color indexed="64"/>
      </right>
      <top style="hair">
        <color rgb="FFD9D9D9"/>
      </top>
      <bottom style="hair">
        <color rgb="FFD9D9D9"/>
      </bottom>
      <diagonal/>
    </border>
    <border>
      <left style="thin">
        <color indexed="64"/>
      </left>
      <right style="hair">
        <color rgb="FFD9D9D9"/>
      </right>
      <top style="hair">
        <color rgb="FFD9D9D9"/>
      </top>
      <bottom style="hair">
        <color rgb="FFD9D9D9"/>
      </bottom>
      <diagonal/>
    </border>
    <border>
      <left style="hair">
        <color indexed="64"/>
      </left>
      <right style="hair">
        <color rgb="FF808080"/>
      </right>
      <top style="hair">
        <color indexed="64"/>
      </top>
      <bottom style="hair">
        <color rgb="FF808080"/>
      </bottom>
      <diagonal/>
    </border>
    <border>
      <left style="hair">
        <color rgb="FF808080"/>
      </left>
      <right style="thin">
        <color indexed="64"/>
      </right>
      <top style="hair">
        <color indexed="64"/>
      </top>
      <bottom style="hair">
        <color rgb="FF808080"/>
      </bottom>
      <diagonal/>
    </border>
    <border>
      <left style="hair">
        <color indexed="64"/>
      </left>
      <right style="hair">
        <color rgb="FF808080"/>
      </right>
      <top style="hair">
        <color rgb="FF808080"/>
      </top>
      <bottom style="hair">
        <color indexed="64"/>
      </bottom>
      <diagonal/>
    </border>
    <border>
      <left style="hair">
        <color rgb="FF808080"/>
      </left>
      <right style="thin">
        <color indexed="64"/>
      </right>
      <top style="hair">
        <color rgb="FF808080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rgb="FFD9D9D9"/>
      </bottom>
      <diagonal/>
    </border>
    <border>
      <left style="thin">
        <color indexed="64"/>
      </left>
      <right style="hair">
        <color theme="0" tint="-0.499984740745262"/>
      </right>
      <top style="hair">
        <color rgb="FFD9D9D9"/>
      </top>
      <bottom style="hair">
        <color rgb="FFD9D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rgb="FFD9D9D9"/>
      </bottom>
      <diagonal/>
    </border>
    <border>
      <left style="thin">
        <color indexed="64"/>
      </left>
      <right style="hair">
        <color rgb="FFD9D9D9"/>
      </right>
      <top style="thin">
        <color indexed="64"/>
      </top>
      <bottom style="hair">
        <color rgb="FFD9D9D9"/>
      </bottom>
      <diagonal/>
    </border>
    <border>
      <left style="hair">
        <color rgb="FFD9D9D9"/>
      </left>
      <right/>
      <top style="thin">
        <color indexed="64"/>
      </top>
      <bottom style="hair">
        <color rgb="FFD9D9D9"/>
      </bottom>
      <diagonal/>
    </border>
    <border>
      <left style="thin">
        <color indexed="64"/>
      </left>
      <right style="hair">
        <color theme="0" tint="-0.499984740745262"/>
      </right>
      <top style="hair">
        <color rgb="FFD9D9D9"/>
      </top>
      <bottom style="thin">
        <color indexed="64"/>
      </bottom>
      <diagonal/>
    </border>
    <border>
      <left style="hair">
        <color theme="0" tint="-0.499984740745262"/>
      </left>
      <right style="hair">
        <color rgb="FFD9D9D9"/>
      </right>
      <top style="hair">
        <color rgb="FFD9D9D9"/>
      </top>
      <bottom style="thin">
        <color indexed="64"/>
      </bottom>
      <diagonal/>
    </border>
    <border>
      <left/>
      <right style="thin">
        <color indexed="64"/>
      </right>
      <top style="hair">
        <color rgb="FFD9D9D9"/>
      </top>
      <bottom style="thin">
        <color indexed="64"/>
      </bottom>
      <diagonal/>
    </border>
    <border>
      <left style="thin">
        <color indexed="64"/>
      </left>
      <right/>
      <top style="hair">
        <color rgb="FFD9D9D9"/>
      </top>
      <bottom style="thin">
        <color indexed="64"/>
      </bottom>
      <diagonal/>
    </border>
    <border>
      <left style="thin">
        <color indexed="64"/>
      </left>
      <right style="hair">
        <color rgb="FFD9D9D9"/>
      </right>
      <top style="hair">
        <color rgb="FFD9D9D9"/>
      </top>
      <bottom style="thin">
        <color indexed="64"/>
      </bottom>
      <diagonal/>
    </border>
    <border>
      <left style="hair">
        <color rgb="FFD9D9D9"/>
      </left>
      <right/>
      <top style="hair">
        <color rgb="FFD9D9D9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indexed="64"/>
      </bottom>
      <diagonal/>
    </border>
    <border>
      <left style="hair">
        <color theme="0" tint="-0.14996795556505021"/>
      </left>
      <right style="hair">
        <color rgb="FFD9D9D9"/>
      </right>
      <top style="thin">
        <color indexed="64"/>
      </top>
      <bottom style="hair">
        <color rgb="FFD9D9D9"/>
      </bottom>
      <diagonal/>
    </border>
    <border>
      <left style="hair">
        <color theme="0" tint="-0.14996795556505021"/>
      </left>
      <right style="hair">
        <color rgb="FFD9D9D9"/>
      </right>
      <top style="hair">
        <color rgb="FFD9D9D9"/>
      </top>
      <bottom style="hair">
        <color rgb="FFD9D9D9"/>
      </bottom>
      <diagonal/>
    </border>
    <border>
      <left style="hair">
        <color theme="0" tint="-0.14996795556505021"/>
      </left>
      <right style="hair">
        <color rgb="FFD9D9D9"/>
      </right>
      <top style="hair">
        <color rgb="FFD9D9D9"/>
      </top>
      <bottom style="thin">
        <color indexed="64"/>
      </bottom>
      <diagonal/>
    </border>
    <border>
      <left style="thin">
        <color indexed="64"/>
      </left>
      <right style="hair">
        <color theme="0" tint="-0.14996795556505021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hair">
        <color theme="0" tint="-0.14996795556505021"/>
      </right>
      <top style="hair">
        <color theme="0" tint="-0.14996795556505021"/>
      </top>
      <bottom style="thin">
        <color indexed="64"/>
      </bottom>
      <diagonal/>
    </border>
    <border>
      <left style="hair">
        <color theme="0" tint="-0.14996795556505021"/>
      </left>
      <right/>
      <top style="thin">
        <color indexed="64"/>
      </top>
      <bottom style="hair">
        <color theme="0" tint="-0.14996795556505021"/>
      </bottom>
      <diagonal/>
    </border>
    <border>
      <left style="hair">
        <color theme="0" tint="-0.14996795556505021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14996795556505021"/>
      </left>
      <right/>
      <top style="hair">
        <color theme="0" tint="-0.14996795556505021"/>
      </top>
      <bottom style="thin">
        <color indexed="64"/>
      </bottom>
      <diagonal/>
    </border>
    <border>
      <left style="hair">
        <color theme="0" tint="-0.14996795556505021"/>
      </left>
      <right style="thin">
        <color indexed="64"/>
      </right>
      <top style="thin">
        <color indexed="64"/>
      </top>
      <bottom style="hair">
        <color rgb="FFD9D9D9"/>
      </bottom>
      <diagonal/>
    </border>
    <border>
      <left style="hair">
        <color theme="0" tint="-0.14996795556505021"/>
      </left>
      <right style="thin">
        <color indexed="64"/>
      </right>
      <top style="hair">
        <color rgb="FFD9D9D9"/>
      </top>
      <bottom style="hair">
        <color rgb="FFD9D9D9"/>
      </bottom>
      <diagonal/>
    </border>
    <border>
      <left style="hair">
        <color theme="0" tint="-0.14996795556505021"/>
      </left>
      <right style="thin">
        <color indexed="64"/>
      </right>
      <top style="hair">
        <color rgb="FFD9D9D9"/>
      </top>
      <bottom style="thin">
        <color indexed="64"/>
      </bottom>
      <diagonal/>
    </border>
    <border>
      <left style="hair">
        <color theme="0" tint="-0.14996795556505021"/>
      </left>
      <right style="hair">
        <color theme="0" tint="-0.14996795556505021"/>
      </right>
      <top style="thin">
        <color indexed="64"/>
      </top>
      <bottom style="hair">
        <color theme="0" tint="-0.14996795556505021"/>
      </bottom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 style="thin">
        <color indexed="64"/>
      </bottom>
      <diagonal/>
    </border>
    <border>
      <left style="hair">
        <color theme="0" tint="-0.14996795556505021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hair">
        <color theme="0" tint="-0.14996795556505021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14996795556505021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hair">
        <color theme="0" tint="-0.499984740745262"/>
      </left>
      <right/>
      <top style="thin">
        <color indexed="64"/>
      </top>
      <bottom style="hair">
        <color theme="0" tint="-0.14996795556505021"/>
      </bottom>
      <diagonal/>
    </border>
    <border>
      <left style="hair">
        <color theme="0" tint="-0.499984740745262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499984740745262"/>
      </left>
      <right/>
      <top style="hair">
        <color theme="0" tint="-0.14996795556505021"/>
      </top>
      <bottom style="thin">
        <color indexed="64"/>
      </bottom>
      <diagonal/>
    </border>
    <border>
      <left/>
      <right style="hair">
        <color theme="0" tint="-0.499984740745262"/>
      </right>
      <top style="thin">
        <color indexed="64"/>
      </top>
      <bottom style="hair">
        <color theme="0" tint="-0.14996795556505021"/>
      </bottom>
      <diagonal/>
    </border>
    <border>
      <left/>
      <right style="hair">
        <color theme="0" tint="-0.499984740745262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hair">
        <color theme="0" tint="-0.499984740745262"/>
      </right>
      <top style="hair">
        <color theme="0" tint="-0.14996795556505021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14993743705557422"/>
      </right>
      <top style="thin">
        <color indexed="64"/>
      </top>
      <bottom style="hair">
        <color theme="0" tint="-0.14996795556505021"/>
      </bottom>
      <diagonal/>
    </border>
    <border>
      <left style="hair">
        <color theme="0" tint="-0.499984740745262"/>
      </left>
      <right style="hair">
        <color theme="0" tint="-0.14993743705557422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499984740745262"/>
      </left>
      <right style="hair">
        <color theme="0" tint="-0.14993743705557422"/>
      </right>
      <top style="hair">
        <color theme="0" tint="-0.1499679555650502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rgb="FFD9D9D9"/>
      </top>
      <bottom style="hair">
        <color rgb="FFD9D9D9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rgb="FFD9D9D9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6" fillId="0" borderId="0"/>
    <xf numFmtId="43" fontId="3" fillId="0" borderId="0" applyFont="0" applyFill="0" applyBorder="0" applyAlignment="0" applyProtection="0"/>
    <xf numFmtId="0" fontId="3" fillId="0" borderId="0"/>
  </cellStyleXfs>
  <cellXfs count="392">
    <xf numFmtId="0" fontId="0" fillId="0" borderId="0" xfId="0"/>
    <xf numFmtId="0" fontId="4" fillId="3" borderId="0" xfId="4" applyFont="1" applyFill="1" applyProtection="1">
      <protection hidden="1"/>
    </xf>
    <xf numFmtId="0" fontId="4" fillId="3" borderId="0" xfId="0" applyFont="1" applyFill="1" applyProtection="1">
      <protection hidden="1"/>
    </xf>
    <xf numFmtId="0" fontId="4" fillId="3" borderId="0" xfId="0" applyFont="1" applyFill="1" applyAlignment="1" applyProtection="1">
      <alignment horizontal="center"/>
      <protection hidden="1"/>
    </xf>
    <xf numFmtId="9" fontId="4" fillId="3" borderId="0" xfId="0" applyNumberFormat="1" applyFont="1" applyFill="1" applyProtection="1">
      <protection hidden="1"/>
    </xf>
    <xf numFmtId="164" fontId="5" fillId="3" borderId="0" xfId="0" applyNumberFormat="1" applyFont="1" applyFill="1" applyProtection="1">
      <protection hidden="1"/>
    </xf>
    <xf numFmtId="164" fontId="7" fillId="3" borderId="0" xfId="4" applyNumberFormat="1" applyFont="1" applyFill="1" applyAlignment="1" applyProtection="1">
      <alignment horizontal="center"/>
      <protection hidden="1"/>
    </xf>
    <xf numFmtId="164" fontId="8" fillId="3" borderId="0" xfId="4" applyNumberFormat="1" applyFont="1" applyFill="1" applyProtection="1">
      <protection hidden="1"/>
    </xf>
    <xf numFmtId="164" fontId="9" fillId="3" borderId="0" xfId="4" applyNumberFormat="1" applyFont="1" applyFill="1" applyAlignment="1" applyProtection="1">
      <alignment horizontal="center"/>
      <protection hidden="1"/>
    </xf>
    <xf numFmtId="165" fontId="10" fillId="3" borderId="0" xfId="4" applyNumberFormat="1" applyFont="1" applyFill="1" applyAlignment="1" applyProtection="1">
      <alignment horizontal="center"/>
      <protection hidden="1"/>
    </xf>
    <xf numFmtId="0" fontId="11" fillId="3" borderId="0" xfId="0" applyFont="1" applyFill="1" applyAlignment="1" applyProtection="1">
      <alignment horizontal="center"/>
      <protection hidden="1"/>
    </xf>
    <xf numFmtId="165" fontId="12" fillId="3" borderId="0" xfId="4" applyNumberFormat="1" applyFont="1" applyFill="1" applyAlignment="1" applyProtection="1">
      <alignment horizontal="center"/>
      <protection hidden="1"/>
    </xf>
    <xf numFmtId="164" fontId="13" fillId="3" borderId="0" xfId="4" applyNumberFormat="1" applyFont="1" applyFill="1" applyAlignment="1" applyProtection="1">
      <alignment horizontal="center" vertical="center"/>
      <protection hidden="1"/>
    </xf>
    <xf numFmtId="164" fontId="5" fillId="3" borderId="0" xfId="4" applyNumberFormat="1" applyFont="1" applyFill="1" applyProtection="1">
      <protection hidden="1"/>
    </xf>
    <xf numFmtId="164" fontId="13" fillId="3" borderId="0" xfId="4" applyNumberFormat="1" applyFont="1" applyFill="1" applyProtection="1">
      <protection hidden="1"/>
    </xf>
    <xf numFmtId="164" fontId="13" fillId="3" borderId="0" xfId="0" applyNumberFormat="1" applyFont="1" applyFill="1" applyAlignment="1" applyProtection="1">
      <alignment horizontal="center"/>
      <protection hidden="1"/>
    </xf>
    <xf numFmtId="164" fontId="13" fillId="3" borderId="0" xfId="4" applyNumberFormat="1" applyFont="1" applyFill="1" applyAlignment="1" applyProtection="1">
      <alignment horizontal="center"/>
      <protection hidden="1"/>
    </xf>
    <xf numFmtId="0" fontId="5" fillId="3" borderId="0" xfId="0" applyFont="1" applyFill="1" applyProtection="1">
      <protection hidden="1"/>
    </xf>
    <xf numFmtId="0" fontId="14" fillId="3" borderId="0" xfId="0" applyFont="1" applyFill="1" applyProtection="1">
      <protection hidden="1"/>
    </xf>
    <xf numFmtId="0" fontId="13" fillId="3" borderId="0" xfId="0" applyFont="1" applyFill="1" applyProtection="1">
      <protection hidden="1"/>
    </xf>
    <xf numFmtId="0" fontId="15" fillId="3" borderId="0" xfId="0" applyFont="1" applyFill="1" applyProtection="1">
      <protection hidden="1"/>
    </xf>
    <xf numFmtId="0" fontId="13" fillId="4" borderId="0" xfId="0" applyFont="1" applyFill="1" applyAlignment="1" applyProtection="1">
      <alignment horizontal="left" vertical="center" indent="1"/>
      <protection hidden="1"/>
    </xf>
    <xf numFmtId="164" fontId="13" fillId="4" borderId="0" xfId="0" applyNumberFormat="1" applyFont="1" applyFill="1" applyAlignment="1" applyProtection="1">
      <alignment vertical="center"/>
      <protection hidden="1"/>
    </xf>
    <xf numFmtId="0" fontId="13" fillId="3" borderId="0" xfId="0" applyFont="1" applyFill="1" applyAlignment="1" applyProtection="1">
      <alignment horizontal="right"/>
      <protection hidden="1"/>
    </xf>
    <xf numFmtId="164" fontId="15" fillId="3" borderId="0" xfId="0" applyNumberFormat="1" applyFont="1" applyFill="1" applyAlignment="1" applyProtection="1">
      <alignment horizontal="right" vertical="center" indent="1"/>
      <protection hidden="1"/>
    </xf>
    <xf numFmtId="166" fontId="15" fillId="3" borderId="0" xfId="1" applyNumberFormat="1" applyFont="1" applyFill="1" applyBorder="1" applyAlignment="1" applyProtection="1">
      <alignment horizontal="right" vertical="center" indent="1"/>
      <protection hidden="1"/>
    </xf>
    <xf numFmtId="166" fontId="15" fillId="3" borderId="0" xfId="1" applyNumberFormat="1" applyFont="1" applyFill="1" applyBorder="1" applyAlignment="1" applyProtection="1">
      <alignment horizontal="center" vertical="center"/>
      <protection hidden="1"/>
    </xf>
    <xf numFmtId="164" fontId="15" fillId="3" borderId="0" xfId="0" applyNumberFormat="1" applyFont="1" applyFill="1" applyAlignment="1" applyProtection="1">
      <alignment horizontal="center" vertical="center"/>
      <protection hidden="1"/>
    </xf>
    <xf numFmtId="0" fontId="15" fillId="3" borderId="0" xfId="0" applyFont="1" applyFill="1" applyAlignment="1" applyProtection="1">
      <alignment horizontal="right" indent="1"/>
      <protection hidden="1"/>
    </xf>
    <xf numFmtId="0" fontId="17" fillId="3" borderId="0" xfId="0" applyFont="1" applyFill="1" applyProtection="1">
      <protection hidden="1"/>
    </xf>
    <xf numFmtId="0" fontId="13" fillId="4" borderId="0" xfId="0" applyFont="1" applyFill="1" applyAlignment="1" applyProtection="1">
      <alignment vertical="center"/>
      <protection hidden="1"/>
    </xf>
    <xf numFmtId="0" fontId="17" fillId="4" borderId="0" xfId="0" applyFont="1" applyFill="1" applyProtection="1">
      <protection hidden="1"/>
    </xf>
    <xf numFmtId="164" fontId="13" fillId="4" borderId="0" xfId="0" applyNumberFormat="1" applyFont="1" applyFill="1" applyProtection="1">
      <protection hidden="1"/>
    </xf>
    <xf numFmtId="164" fontId="15" fillId="3" borderId="0" xfId="0" applyNumberFormat="1" applyFont="1" applyFill="1" applyAlignment="1" applyProtection="1">
      <alignment horizontal="center"/>
      <protection hidden="1"/>
    </xf>
    <xf numFmtId="164" fontId="13" fillId="3" borderId="0" xfId="0" applyNumberFormat="1" applyFont="1" applyFill="1" applyProtection="1">
      <protection hidden="1"/>
    </xf>
    <xf numFmtId="0" fontId="13" fillId="3" borderId="0" xfId="0" applyFont="1" applyFill="1" applyAlignment="1" applyProtection="1">
      <alignment vertical="center"/>
      <protection hidden="1"/>
    </xf>
    <xf numFmtId="164" fontId="5" fillId="3" borderId="0" xfId="4" applyNumberFormat="1" applyFont="1" applyFill="1" applyAlignment="1" applyProtection="1">
      <alignment horizontal="center"/>
      <protection hidden="1"/>
    </xf>
    <xf numFmtId="164" fontId="7" fillId="3" borderId="0" xfId="4" applyNumberFormat="1" applyFont="1" applyFill="1" applyProtection="1">
      <protection hidden="1"/>
    </xf>
    <xf numFmtId="164" fontId="12" fillId="3" borderId="0" xfId="4" applyNumberFormat="1" applyFont="1" applyFill="1" applyAlignment="1" applyProtection="1">
      <alignment horizontal="center" vertical="center"/>
      <protection hidden="1"/>
    </xf>
    <xf numFmtId="164" fontId="10" fillId="3" borderId="0" xfId="4" applyNumberFormat="1" applyFont="1" applyFill="1" applyProtection="1">
      <protection hidden="1"/>
    </xf>
    <xf numFmtId="164" fontId="20" fillId="3" borderId="0" xfId="4" applyNumberFormat="1" applyFont="1" applyFill="1" applyAlignment="1" applyProtection="1">
      <alignment horizontal="center"/>
      <protection hidden="1"/>
    </xf>
    <xf numFmtId="164" fontId="5" fillId="3" borderId="0" xfId="0" applyNumberFormat="1" applyFont="1" applyFill="1" applyAlignment="1" applyProtection="1">
      <alignment horizontal="left"/>
      <protection hidden="1"/>
    </xf>
    <xf numFmtId="164" fontId="12" fillId="3" borderId="0" xfId="4" applyNumberFormat="1" applyFont="1" applyFill="1" applyProtection="1">
      <protection hidden="1"/>
    </xf>
    <xf numFmtId="166" fontId="5" fillId="3" borderId="0" xfId="1" applyNumberFormat="1" applyFont="1" applyFill="1" applyProtection="1">
      <protection hidden="1"/>
    </xf>
    <xf numFmtId="164" fontId="7" fillId="3" borderId="0" xfId="0" applyNumberFormat="1" applyFont="1" applyFill="1" applyProtection="1">
      <protection hidden="1"/>
    </xf>
    <xf numFmtId="165" fontId="12" fillId="3" borderId="0" xfId="4" applyNumberFormat="1" applyFont="1" applyFill="1" applyProtection="1">
      <protection hidden="1"/>
    </xf>
    <xf numFmtId="167" fontId="10" fillId="3" borderId="0" xfId="4" applyNumberFormat="1" applyFont="1" applyFill="1" applyAlignment="1" applyProtection="1">
      <alignment horizontal="center"/>
      <protection hidden="1"/>
    </xf>
    <xf numFmtId="165" fontId="10" fillId="4" borderId="0" xfId="4" applyNumberFormat="1" applyFont="1" applyFill="1" applyAlignment="1" applyProtection="1">
      <alignment horizontal="center"/>
      <protection hidden="1"/>
    </xf>
    <xf numFmtId="164" fontId="22" fillId="3" borderId="0" xfId="0" applyNumberFormat="1" applyFont="1" applyFill="1" applyAlignment="1" applyProtection="1">
      <alignment horizontal="center"/>
      <protection hidden="1"/>
    </xf>
    <xf numFmtId="164" fontId="22" fillId="3" borderId="0" xfId="4" applyNumberFormat="1" applyFont="1" applyFill="1" applyProtection="1">
      <protection hidden="1"/>
    </xf>
    <xf numFmtId="164" fontId="13" fillId="4" borderId="0" xfId="0" applyNumberFormat="1" applyFont="1" applyFill="1" applyAlignment="1" applyProtection="1">
      <alignment horizontal="left" indent="1"/>
      <protection hidden="1"/>
    </xf>
    <xf numFmtId="164" fontId="13" fillId="3" borderId="0" xfId="6" applyNumberFormat="1" applyFont="1" applyFill="1" applyBorder="1" applyAlignment="1" applyProtection="1">
      <protection hidden="1"/>
    </xf>
    <xf numFmtId="164" fontId="13" fillId="4" borderId="7" xfId="4" applyNumberFormat="1" applyFont="1" applyFill="1" applyBorder="1" applyAlignment="1" applyProtection="1">
      <alignment horizontal="left" indent="1"/>
      <protection hidden="1"/>
    </xf>
    <xf numFmtId="164" fontId="13" fillId="3" borderId="5" xfId="4" applyNumberFormat="1" applyFont="1" applyFill="1" applyBorder="1" applyProtection="1">
      <protection hidden="1"/>
    </xf>
    <xf numFmtId="164" fontId="13" fillId="3" borderId="7" xfId="4" applyNumberFormat="1" applyFont="1" applyFill="1" applyBorder="1" applyProtection="1">
      <protection hidden="1"/>
    </xf>
    <xf numFmtId="164" fontId="13" fillId="4" borderId="7" xfId="0" applyNumberFormat="1" applyFont="1" applyFill="1" applyBorder="1" applyProtection="1">
      <protection hidden="1"/>
    </xf>
    <xf numFmtId="164" fontId="13" fillId="3" borderId="0" xfId="4" applyNumberFormat="1" applyFont="1" applyFill="1" applyAlignment="1" applyProtection="1">
      <alignment horizontal="left" indent="1"/>
      <protection hidden="1"/>
    </xf>
    <xf numFmtId="164" fontId="13" fillId="3" borderId="3" xfId="4" applyNumberFormat="1" applyFont="1" applyFill="1" applyBorder="1" applyProtection="1">
      <protection hidden="1"/>
    </xf>
    <xf numFmtId="0" fontId="13" fillId="3" borderId="0" xfId="0" quotePrefix="1" applyFont="1" applyFill="1" applyAlignment="1" applyProtection="1">
      <alignment horizontal="left" indent="1"/>
      <protection hidden="1"/>
    </xf>
    <xf numFmtId="164" fontId="13" fillId="3" borderId="0" xfId="4" quotePrefix="1" applyNumberFormat="1" applyFont="1" applyFill="1" applyAlignment="1" applyProtection="1">
      <alignment horizontal="left" indent="1"/>
      <protection hidden="1"/>
    </xf>
    <xf numFmtId="0" fontId="13" fillId="4" borderId="0" xfId="0" applyFont="1" applyFill="1" applyAlignment="1" applyProtection="1">
      <alignment horizontal="left" indent="1"/>
      <protection hidden="1"/>
    </xf>
    <xf numFmtId="164" fontId="13" fillId="4" borderId="0" xfId="4" applyNumberFormat="1" applyFont="1" applyFill="1" applyAlignment="1" applyProtection="1">
      <alignment horizontal="left" indent="1"/>
      <protection hidden="1"/>
    </xf>
    <xf numFmtId="164" fontId="23" fillId="4" borderId="0" xfId="4" applyNumberFormat="1" applyFont="1" applyFill="1" applyAlignment="1" applyProtection="1">
      <alignment horizontal="left" indent="1"/>
      <protection hidden="1"/>
    </xf>
    <xf numFmtId="164" fontId="23" fillId="4" borderId="0" xfId="0" applyNumberFormat="1" applyFont="1" applyFill="1" applyProtection="1">
      <protection hidden="1"/>
    </xf>
    <xf numFmtId="164" fontId="23" fillId="3" borderId="0" xfId="4" applyNumberFormat="1" applyFont="1" applyFill="1" applyProtection="1">
      <protection hidden="1"/>
    </xf>
    <xf numFmtId="164" fontId="23" fillId="3" borderId="0" xfId="0" applyNumberFormat="1" applyFont="1" applyFill="1" applyProtection="1">
      <protection hidden="1"/>
    </xf>
    <xf numFmtId="164" fontId="23" fillId="3" borderId="0" xfId="6" applyNumberFormat="1" applyFont="1" applyFill="1" applyBorder="1" applyAlignment="1" applyProtection="1">
      <protection hidden="1"/>
    </xf>
    <xf numFmtId="164" fontId="13" fillId="4" borderId="5" xfId="4" applyNumberFormat="1" applyFont="1" applyFill="1" applyBorder="1" applyAlignment="1" applyProtection="1">
      <alignment horizontal="left" indent="1"/>
      <protection hidden="1"/>
    </xf>
    <xf numFmtId="164" fontId="13" fillId="3" borderId="5" xfId="4" applyNumberFormat="1" applyFont="1" applyFill="1" applyBorder="1" applyAlignment="1" applyProtection="1">
      <alignment horizontal="left" indent="1"/>
      <protection hidden="1"/>
    </xf>
    <xf numFmtId="164" fontId="13" fillId="3" borderId="5" xfId="0" applyNumberFormat="1" applyFont="1" applyFill="1" applyBorder="1" applyProtection="1">
      <protection hidden="1"/>
    </xf>
    <xf numFmtId="164" fontId="13" fillId="4" borderId="5" xfId="0" applyNumberFormat="1" applyFont="1" applyFill="1" applyBorder="1" applyProtection="1">
      <protection hidden="1"/>
    </xf>
    <xf numFmtId="164" fontId="13" fillId="3" borderId="8" xfId="4" quotePrefix="1" applyNumberFormat="1" applyFont="1" applyFill="1" applyBorder="1" applyAlignment="1" applyProtection="1">
      <alignment horizontal="left" indent="1"/>
      <protection hidden="1"/>
    </xf>
    <xf numFmtId="164" fontId="13" fillId="3" borderId="8" xfId="0" applyNumberFormat="1" applyFont="1" applyFill="1" applyBorder="1" applyProtection="1">
      <protection hidden="1"/>
    </xf>
    <xf numFmtId="164" fontId="13" fillId="3" borderId="8" xfId="4" applyNumberFormat="1" applyFont="1" applyFill="1" applyBorder="1" applyProtection="1">
      <protection hidden="1"/>
    </xf>
    <xf numFmtId="0" fontId="22" fillId="3" borderId="0" xfId="0" applyFont="1" applyFill="1" applyAlignment="1" applyProtection="1">
      <alignment horizontal="left"/>
      <protection hidden="1"/>
    </xf>
    <xf numFmtId="164" fontId="22" fillId="3" borderId="0" xfId="0" applyNumberFormat="1" applyFont="1" applyFill="1" applyProtection="1">
      <protection hidden="1"/>
    </xf>
    <xf numFmtId="164" fontId="22" fillId="3" borderId="9" xfId="0" applyNumberFormat="1" applyFont="1" applyFill="1" applyBorder="1" applyProtection="1">
      <protection hidden="1"/>
    </xf>
    <xf numFmtId="164" fontId="22" fillId="3" borderId="0" xfId="4" applyNumberFormat="1" applyFont="1" applyFill="1" applyAlignment="1" applyProtection="1">
      <alignment horizontal="center"/>
      <protection hidden="1"/>
    </xf>
    <xf numFmtId="164" fontId="21" fillId="3" borderId="0" xfId="4" applyNumberFormat="1" applyFont="1" applyFill="1" applyAlignment="1" applyProtection="1">
      <alignment vertical="top"/>
      <protection hidden="1"/>
    </xf>
    <xf numFmtId="164" fontId="5" fillId="3" borderId="0" xfId="4" applyNumberFormat="1" applyFont="1" applyFill="1" applyAlignment="1" applyProtection="1">
      <alignment horizontal="left"/>
      <protection hidden="1"/>
    </xf>
    <xf numFmtId="164" fontId="13" fillId="4" borderId="0" xfId="4" applyNumberFormat="1" applyFont="1" applyFill="1" applyAlignment="1" applyProtection="1">
      <alignment horizontal="center"/>
      <protection hidden="1"/>
    </xf>
    <xf numFmtId="166" fontId="13" fillId="4" borderId="0" xfId="1" applyNumberFormat="1" applyFont="1" applyFill="1" applyBorder="1" applyProtection="1">
      <protection hidden="1"/>
    </xf>
    <xf numFmtId="164" fontId="13" fillId="4" borderId="2" xfId="4" applyNumberFormat="1" applyFont="1" applyFill="1" applyBorder="1" applyAlignment="1" applyProtection="1">
      <alignment horizontal="left" indent="1"/>
      <protection hidden="1"/>
    </xf>
    <xf numFmtId="164" fontId="13" fillId="4" borderId="2" xfId="4" applyNumberFormat="1" applyFont="1" applyFill="1" applyBorder="1" applyAlignment="1" applyProtection="1">
      <alignment horizontal="center"/>
      <protection hidden="1"/>
    </xf>
    <xf numFmtId="0" fontId="13" fillId="4" borderId="2" xfId="0" quotePrefix="1" applyFont="1" applyFill="1" applyBorder="1" applyAlignment="1" applyProtection="1">
      <alignment horizontal="left" indent="1"/>
      <protection hidden="1"/>
    </xf>
    <xf numFmtId="164" fontId="13" fillId="4" borderId="0" xfId="4" applyNumberFormat="1" applyFont="1" applyFill="1" applyAlignment="1" applyProtection="1">
      <alignment horizontal="left"/>
      <protection hidden="1"/>
    </xf>
    <xf numFmtId="164" fontId="13" fillId="4" borderId="2" xfId="4" applyNumberFormat="1" applyFont="1" applyFill="1" applyBorder="1" applyAlignment="1" applyProtection="1">
      <alignment horizontal="left"/>
      <protection hidden="1"/>
    </xf>
    <xf numFmtId="164" fontId="13" fillId="4" borderId="2" xfId="4" applyNumberFormat="1" applyFont="1" applyFill="1" applyBorder="1" applyProtection="1">
      <protection hidden="1"/>
    </xf>
    <xf numFmtId="164" fontId="15" fillId="3" borderId="0" xfId="4" applyNumberFormat="1" applyFont="1" applyFill="1" applyAlignment="1" applyProtection="1">
      <alignment horizontal="center"/>
      <protection hidden="1"/>
    </xf>
    <xf numFmtId="164" fontId="24" fillId="4" borderId="0" xfId="0" applyNumberFormat="1" applyFont="1" applyFill="1" applyProtection="1">
      <protection hidden="1"/>
    </xf>
    <xf numFmtId="164" fontId="24" fillId="3" borderId="0" xfId="0" applyNumberFormat="1" applyFont="1" applyFill="1" applyProtection="1">
      <protection hidden="1"/>
    </xf>
    <xf numFmtId="164" fontId="24" fillId="3" borderId="0" xfId="6" applyNumberFormat="1" applyFont="1" applyFill="1" applyBorder="1" applyAlignment="1" applyProtection="1">
      <protection hidden="1"/>
    </xf>
    <xf numFmtId="164" fontId="7" fillId="3" borderId="0" xfId="4" applyNumberFormat="1" applyFont="1" applyFill="1" applyAlignment="1" applyProtection="1">
      <alignment horizontal="left"/>
      <protection hidden="1"/>
    </xf>
    <xf numFmtId="164" fontId="24" fillId="4" borderId="7" xfId="0" applyNumberFormat="1" applyFont="1" applyFill="1" applyBorder="1" applyProtection="1">
      <protection hidden="1"/>
    </xf>
    <xf numFmtId="164" fontId="24" fillId="3" borderId="7" xfId="4" applyNumberFormat="1" applyFont="1" applyFill="1" applyBorder="1" applyProtection="1">
      <protection hidden="1"/>
    </xf>
    <xf numFmtId="164" fontId="25" fillId="3" borderId="0" xfId="0" applyNumberFormat="1" applyFont="1" applyFill="1" applyProtection="1">
      <protection hidden="1"/>
    </xf>
    <xf numFmtId="164" fontId="25" fillId="3" borderId="0" xfId="4" applyNumberFormat="1" applyFont="1" applyFill="1" applyProtection="1">
      <protection hidden="1"/>
    </xf>
    <xf numFmtId="164" fontId="24" fillId="3" borderId="0" xfId="4" applyNumberFormat="1" applyFont="1" applyFill="1" applyProtection="1">
      <protection hidden="1"/>
    </xf>
    <xf numFmtId="164" fontId="25" fillId="3" borderId="2" xfId="4" applyNumberFormat="1" applyFont="1" applyFill="1" applyBorder="1" applyProtection="1">
      <protection hidden="1"/>
    </xf>
    <xf numFmtId="164" fontId="24" fillId="3" borderId="2" xfId="4" applyNumberFormat="1" applyFont="1" applyFill="1" applyBorder="1" applyProtection="1">
      <protection hidden="1"/>
    </xf>
    <xf numFmtId="164" fontId="24" fillId="4" borderId="2" xfId="0" applyNumberFormat="1" applyFont="1" applyFill="1" applyBorder="1" applyProtection="1">
      <protection hidden="1"/>
    </xf>
    <xf numFmtId="164" fontId="26" fillId="3" borderId="0" xfId="4" applyNumberFormat="1" applyFont="1" applyFill="1" applyAlignment="1" applyProtection="1">
      <alignment horizontal="right"/>
      <protection hidden="1"/>
    </xf>
    <xf numFmtId="164" fontId="27" fillId="3" borderId="0" xfId="4" applyNumberFormat="1" applyFont="1" applyFill="1" applyAlignment="1" applyProtection="1">
      <alignment horizontal="right"/>
      <protection hidden="1"/>
    </xf>
    <xf numFmtId="164" fontId="28" fillId="3" borderId="0" xfId="4" applyNumberFormat="1" applyFont="1" applyFill="1" applyAlignment="1" applyProtection="1">
      <alignment horizontal="right" vertical="top"/>
      <protection hidden="1"/>
    </xf>
    <xf numFmtId="164" fontId="27" fillId="3" borderId="0" xfId="0" applyNumberFormat="1" applyFont="1" applyFill="1" applyAlignment="1" applyProtection="1">
      <alignment horizontal="right"/>
      <protection hidden="1"/>
    </xf>
    <xf numFmtId="164" fontId="12" fillId="3" borderId="0" xfId="4" applyNumberFormat="1" applyFont="1" applyFill="1" applyAlignment="1" applyProtection="1">
      <alignment horizontal="center"/>
      <protection hidden="1"/>
    </xf>
    <xf numFmtId="164" fontId="13" fillId="4" borderId="0" xfId="4" applyNumberFormat="1" applyFont="1" applyFill="1" applyAlignment="1" applyProtection="1">
      <alignment horizontal="left" indent="2"/>
      <protection hidden="1"/>
    </xf>
    <xf numFmtId="164" fontId="13" fillId="3" borderId="2" xfId="0" applyNumberFormat="1" applyFont="1" applyFill="1" applyBorder="1" applyAlignment="1" applyProtection="1">
      <alignment horizontal="left" indent="1"/>
      <protection hidden="1"/>
    </xf>
    <xf numFmtId="164" fontId="22" fillId="3" borderId="0" xfId="4" applyNumberFormat="1" applyFont="1" applyFill="1" applyAlignment="1" applyProtection="1">
      <alignment vertical="top"/>
      <protection hidden="1"/>
    </xf>
    <xf numFmtId="164" fontId="24" fillId="3" borderId="2" xfId="0" applyNumberFormat="1" applyFont="1" applyFill="1" applyBorder="1" applyProtection="1">
      <protection hidden="1"/>
    </xf>
    <xf numFmtId="164" fontId="24" fillId="3" borderId="2" xfId="6" applyNumberFormat="1" applyFont="1" applyFill="1" applyBorder="1" applyAlignment="1" applyProtection="1">
      <protection hidden="1"/>
    </xf>
    <xf numFmtId="164" fontId="13" fillId="4" borderId="2" xfId="0" applyNumberFormat="1" applyFont="1" applyFill="1" applyBorder="1" applyAlignment="1" applyProtection="1">
      <alignment horizontal="left" indent="1"/>
      <protection hidden="1"/>
    </xf>
    <xf numFmtId="164" fontId="24" fillId="4" borderId="2" xfId="4" applyNumberFormat="1" applyFont="1" applyFill="1" applyBorder="1" applyProtection="1">
      <protection hidden="1"/>
    </xf>
    <xf numFmtId="164" fontId="24" fillId="3" borderId="0" xfId="4" applyNumberFormat="1" applyFont="1" applyFill="1" applyAlignment="1" applyProtection="1">
      <alignment horizontal="center"/>
      <protection hidden="1"/>
    </xf>
    <xf numFmtId="164" fontId="29" fillId="3" borderId="0" xfId="0" applyNumberFormat="1" applyFont="1" applyFill="1" applyAlignment="1" applyProtection="1">
      <alignment horizontal="center"/>
      <protection hidden="1"/>
    </xf>
    <xf numFmtId="9" fontId="25" fillId="3" borderId="0" xfId="1" applyFont="1" applyFill="1" applyProtection="1">
      <protection hidden="1"/>
    </xf>
    <xf numFmtId="9" fontId="24" fillId="3" borderId="0" xfId="1" applyFont="1" applyFill="1" applyAlignment="1" applyProtection="1">
      <alignment horizontal="center"/>
      <protection hidden="1"/>
    </xf>
    <xf numFmtId="9" fontId="24" fillId="3" borderId="0" xfId="1" applyFont="1" applyFill="1" applyProtection="1">
      <protection hidden="1"/>
    </xf>
    <xf numFmtId="164" fontId="29" fillId="3" borderId="0" xfId="4" applyNumberFormat="1" applyFont="1" applyFill="1" applyAlignment="1" applyProtection="1">
      <alignment horizontal="center"/>
      <protection hidden="1"/>
    </xf>
    <xf numFmtId="164" fontId="30" fillId="3" borderId="0" xfId="4" applyNumberFormat="1" applyFont="1" applyFill="1" applyProtection="1">
      <protection hidden="1"/>
    </xf>
    <xf numFmtId="164" fontId="31" fillId="3" borderId="0" xfId="4" applyNumberFormat="1" applyFont="1" applyFill="1" applyAlignment="1" applyProtection="1">
      <alignment horizontal="center"/>
      <protection hidden="1"/>
    </xf>
    <xf numFmtId="166" fontId="5" fillId="3" borderId="0" xfId="1" applyNumberFormat="1" applyFont="1" applyFill="1" applyBorder="1" applyProtection="1">
      <protection hidden="1"/>
    </xf>
    <xf numFmtId="166" fontId="13" fillId="3" borderId="0" xfId="1" applyNumberFormat="1" applyFont="1" applyFill="1" applyAlignment="1" applyProtection="1">
      <alignment horizontal="left" indent="1"/>
      <protection hidden="1"/>
    </xf>
    <xf numFmtId="166" fontId="32" fillId="3" borderId="0" xfId="1" applyNumberFormat="1" applyFont="1" applyFill="1" applyProtection="1">
      <protection hidden="1"/>
    </xf>
    <xf numFmtId="166" fontId="25" fillId="3" borderId="0" xfId="1" applyNumberFormat="1" applyFont="1" applyFill="1" applyAlignment="1" applyProtection="1">
      <protection hidden="1"/>
    </xf>
    <xf numFmtId="166" fontId="33" fillId="3" borderId="0" xfId="1" applyNumberFormat="1" applyFont="1" applyFill="1" applyAlignment="1" applyProtection="1">
      <alignment horizontal="center"/>
      <protection hidden="1"/>
    </xf>
    <xf numFmtId="166" fontId="24" fillId="3" borderId="0" xfId="1" applyNumberFormat="1" applyFont="1" applyFill="1" applyAlignment="1" applyProtection="1">
      <protection hidden="1"/>
    </xf>
    <xf numFmtId="166" fontId="13" fillId="3" borderId="0" xfId="1" applyNumberFormat="1" applyFont="1" applyFill="1" applyProtection="1">
      <protection hidden="1"/>
    </xf>
    <xf numFmtId="171" fontId="24" fillId="4" borderId="0" xfId="0" applyNumberFormat="1" applyFont="1" applyFill="1" applyAlignment="1" applyProtection="1">
      <alignment horizontal="right"/>
      <protection hidden="1"/>
    </xf>
    <xf numFmtId="164" fontId="34" fillId="3" borderId="0" xfId="4" applyNumberFormat="1" applyFont="1" applyFill="1" applyAlignment="1" applyProtection="1">
      <alignment horizontal="center"/>
      <protection hidden="1"/>
    </xf>
    <xf numFmtId="171" fontId="24" fillId="3" borderId="0" xfId="0" applyNumberFormat="1" applyFont="1" applyFill="1" applyAlignment="1" applyProtection="1">
      <alignment horizontal="right"/>
      <protection hidden="1"/>
    </xf>
    <xf numFmtId="164" fontId="22" fillId="3" borderId="0" xfId="4" applyNumberFormat="1" applyFont="1" applyFill="1" applyAlignment="1" applyProtection="1">
      <alignment horizontal="left"/>
      <protection hidden="1"/>
    </xf>
    <xf numFmtId="164" fontId="35" fillId="3" borderId="0" xfId="4" applyNumberFormat="1" applyFont="1" applyFill="1" applyAlignment="1" applyProtection="1">
      <alignment horizontal="left" indent="1"/>
      <protection hidden="1"/>
    </xf>
    <xf numFmtId="164" fontId="25" fillId="3" borderId="0" xfId="4" applyNumberFormat="1" applyFont="1" applyFill="1" applyAlignment="1" applyProtection="1">
      <alignment horizontal="center"/>
      <protection hidden="1"/>
    </xf>
    <xf numFmtId="0" fontId="36" fillId="3" borderId="0" xfId="0" applyFont="1" applyFill="1" applyAlignment="1" applyProtection="1">
      <alignment horizontal="left"/>
      <protection hidden="1"/>
    </xf>
    <xf numFmtId="0" fontId="37" fillId="3" borderId="0" xfId="0" applyFont="1" applyFill="1" applyAlignment="1" applyProtection="1">
      <alignment horizontal="left"/>
      <protection hidden="1"/>
    </xf>
    <xf numFmtId="164" fontId="13" fillId="3" borderId="0" xfId="4" applyNumberFormat="1" applyFont="1" applyFill="1" applyAlignment="1" applyProtection="1">
      <alignment horizontal="left" indent="2"/>
      <protection hidden="1"/>
    </xf>
    <xf numFmtId="164" fontId="24" fillId="3" borderId="7" xfId="0" applyNumberFormat="1" applyFont="1" applyFill="1" applyBorder="1" applyProtection="1">
      <protection hidden="1"/>
    </xf>
    <xf numFmtId="164" fontId="38" fillId="3" borderId="0" xfId="4" applyNumberFormat="1" applyFont="1" applyFill="1" applyAlignment="1" applyProtection="1">
      <alignment horizontal="center"/>
      <protection hidden="1"/>
    </xf>
    <xf numFmtId="164" fontId="25" fillId="0" borderId="0" xfId="4" applyNumberFormat="1" applyFont="1" applyProtection="1">
      <protection hidden="1"/>
    </xf>
    <xf numFmtId="0" fontId="13" fillId="3" borderId="0" xfId="0" applyFont="1" applyFill="1" applyAlignment="1" applyProtection="1">
      <alignment horizontal="left"/>
      <protection hidden="1"/>
    </xf>
    <xf numFmtId="164" fontId="13" fillId="3" borderId="7" xfId="4" applyNumberFormat="1" applyFont="1" applyFill="1" applyBorder="1" applyAlignment="1" applyProtection="1">
      <alignment horizontal="left" indent="2"/>
      <protection hidden="1"/>
    </xf>
    <xf numFmtId="0" fontId="13" fillId="3" borderId="0" xfId="0" applyFont="1" applyFill="1" applyAlignment="1" applyProtection="1">
      <alignment horizontal="center"/>
      <protection hidden="1"/>
    </xf>
    <xf numFmtId="0" fontId="40" fillId="3" borderId="0" xfId="0" applyFont="1" applyFill="1" applyAlignment="1" applyProtection="1">
      <alignment horizontal="left"/>
      <protection hidden="1"/>
    </xf>
    <xf numFmtId="0" fontId="40" fillId="3" borderId="0" xfId="0" applyFont="1" applyFill="1" applyProtection="1">
      <protection hidden="1"/>
    </xf>
    <xf numFmtId="164" fontId="42" fillId="0" borderId="0" xfId="4" applyNumberFormat="1" applyFont="1" applyAlignment="1" applyProtection="1">
      <alignment horizontal="center"/>
      <protection hidden="1"/>
    </xf>
    <xf numFmtId="0" fontId="43" fillId="3" borderId="0" xfId="0" applyFont="1" applyFill="1" applyProtection="1">
      <protection hidden="1"/>
    </xf>
    <xf numFmtId="0" fontId="6" fillId="3" borderId="0" xfId="3" applyFont="1" applyFill="1" applyAlignment="1" applyProtection="1">
      <protection hidden="1"/>
    </xf>
    <xf numFmtId="0" fontId="44" fillId="3" borderId="0" xfId="0" applyFont="1" applyFill="1" applyProtection="1">
      <protection hidden="1"/>
    </xf>
    <xf numFmtId="0" fontId="45" fillId="3" borderId="0" xfId="0" applyFont="1" applyFill="1" applyProtection="1">
      <protection hidden="1"/>
    </xf>
    <xf numFmtId="0" fontId="46" fillId="3" borderId="0" xfId="0" applyFont="1" applyFill="1" applyProtection="1">
      <protection hidden="1"/>
    </xf>
    <xf numFmtId="0" fontId="47" fillId="3" borderId="0" xfId="0" applyFont="1" applyFill="1" applyProtection="1">
      <protection hidden="1"/>
    </xf>
    <xf numFmtId="164" fontId="12" fillId="3" borderId="0" xfId="0" applyNumberFormat="1" applyFont="1" applyFill="1" applyProtection="1">
      <protection hidden="1"/>
    </xf>
    <xf numFmtId="0" fontId="48" fillId="3" borderId="0" xfId="0" applyFont="1" applyFill="1" applyProtection="1">
      <protection hidden="1"/>
    </xf>
    <xf numFmtId="0" fontId="51" fillId="3" borderId="0" xfId="0" applyFont="1" applyFill="1" applyProtection="1">
      <protection hidden="1"/>
    </xf>
    <xf numFmtId="0" fontId="5" fillId="3" borderId="0" xfId="0" applyFont="1" applyFill="1" applyAlignment="1" applyProtection="1">
      <alignment horizontal="center"/>
      <protection hidden="1"/>
    </xf>
    <xf numFmtId="0" fontId="5" fillId="3" borderId="0" xfId="0" applyFont="1" applyFill="1" applyAlignment="1" applyProtection="1">
      <alignment horizontal="left"/>
      <protection hidden="1"/>
    </xf>
    <xf numFmtId="0" fontId="5" fillId="3" borderId="0" xfId="0" applyFont="1" applyFill="1" applyAlignment="1" applyProtection="1">
      <alignment horizontal="left" vertical="center"/>
      <protection hidden="1"/>
    </xf>
    <xf numFmtId="0" fontId="41" fillId="3" borderId="9" xfId="0" applyFont="1" applyFill="1" applyBorder="1" applyAlignment="1" applyProtection="1">
      <alignment horizontal="center"/>
      <protection hidden="1"/>
    </xf>
    <xf numFmtId="0" fontId="41" fillId="3" borderId="11" xfId="0" applyFont="1" applyFill="1" applyBorder="1" applyAlignment="1" applyProtection="1">
      <alignment horizontal="center"/>
      <protection hidden="1"/>
    </xf>
    <xf numFmtId="169" fontId="5" fillId="3" borderId="0" xfId="4" applyNumberFormat="1" applyFont="1" applyFill="1" applyAlignment="1" applyProtection="1">
      <alignment horizontal="center"/>
      <protection hidden="1"/>
    </xf>
    <xf numFmtId="0" fontId="41" fillId="3" borderId="6" xfId="0" applyFont="1" applyFill="1" applyBorder="1" applyAlignment="1" applyProtection="1">
      <alignment horizontal="center"/>
      <protection hidden="1"/>
    </xf>
    <xf numFmtId="164" fontId="41" fillId="3" borderId="29" xfId="4" applyNumberFormat="1" applyFont="1" applyFill="1" applyBorder="1" applyProtection="1">
      <protection hidden="1"/>
    </xf>
    <xf numFmtId="164" fontId="41" fillId="3" borderId="10" xfId="4" applyNumberFormat="1" applyFont="1" applyFill="1" applyBorder="1" applyAlignment="1" applyProtection="1">
      <alignment horizontal="left"/>
      <protection hidden="1"/>
    </xf>
    <xf numFmtId="164" fontId="41" fillId="3" borderId="9" xfId="0" applyNumberFormat="1" applyFont="1" applyFill="1" applyBorder="1" applyAlignment="1" applyProtection="1">
      <alignment horizontal="center"/>
      <protection hidden="1"/>
    </xf>
    <xf numFmtId="164" fontId="41" fillId="3" borderId="9" xfId="4" applyNumberFormat="1" applyFont="1" applyFill="1" applyBorder="1" applyProtection="1">
      <protection hidden="1"/>
    </xf>
    <xf numFmtId="164" fontId="41" fillId="3" borderId="10" xfId="4" applyNumberFormat="1" applyFont="1" applyFill="1" applyBorder="1" applyProtection="1">
      <protection hidden="1"/>
    </xf>
    <xf numFmtId="164" fontId="41" fillId="3" borderId="9" xfId="4" applyNumberFormat="1" applyFont="1" applyFill="1" applyBorder="1" applyAlignment="1" applyProtection="1">
      <alignment horizontal="center"/>
      <protection hidden="1"/>
    </xf>
    <xf numFmtId="0" fontId="41" fillId="3" borderId="11" xfId="0" applyFont="1" applyFill="1" applyBorder="1" applyAlignment="1" applyProtection="1">
      <alignment horizontal="left"/>
      <protection hidden="1"/>
    </xf>
    <xf numFmtId="0" fontId="41" fillId="3" borderId="40" xfId="0" applyFont="1" applyFill="1" applyBorder="1" applyAlignment="1" applyProtection="1">
      <alignment horizontal="right"/>
      <protection hidden="1"/>
    </xf>
    <xf numFmtId="0" fontId="41" fillId="3" borderId="41" xfId="0" applyFont="1" applyFill="1" applyBorder="1" applyAlignment="1" applyProtection="1">
      <alignment horizontal="left"/>
      <protection hidden="1"/>
    </xf>
    <xf numFmtId="0" fontId="4" fillId="3" borderId="0" xfId="0" applyFont="1" applyFill="1" applyAlignment="1" applyProtection="1">
      <alignment horizontal="right"/>
      <protection hidden="1"/>
    </xf>
    <xf numFmtId="169" fontId="5" fillId="3" borderId="0" xfId="4" applyNumberFormat="1" applyFont="1" applyFill="1" applyAlignment="1" applyProtection="1">
      <alignment horizontal="right"/>
      <protection hidden="1"/>
    </xf>
    <xf numFmtId="0" fontId="41" fillId="3" borderId="9" xfId="0" applyFont="1" applyFill="1" applyBorder="1" applyAlignment="1" applyProtection="1">
      <alignment horizontal="right"/>
      <protection hidden="1"/>
    </xf>
    <xf numFmtId="0" fontId="41" fillId="3" borderId="30" xfId="0" applyFont="1" applyFill="1" applyBorder="1" applyAlignment="1" applyProtection="1">
      <alignment horizontal="right"/>
      <protection hidden="1"/>
    </xf>
    <xf numFmtId="164" fontId="24" fillId="3" borderId="0" xfId="0" applyNumberFormat="1" applyFont="1" applyFill="1" applyAlignment="1" applyProtection="1">
      <alignment horizontal="right"/>
      <protection hidden="1"/>
    </xf>
    <xf numFmtId="164" fontId="24" fillId="4" borderId="0" xfId="0" applyNumberFormat="1" applyFont="1" applyFill="1" applyAlignment="1" applyProtection="1">
      <alignment horizontal="right"/>
      <protection hidden="1"/>
    </xf>
    <xf numFmtId="164" fontId="40" fillId="3" borderId="2" xfId="0" applyNumberFormat="1" applyFont="1" applyFill="1" applyBorder="1" applyAlignment="1" applyProtection="1">
      <alignment horizontal="right" vertical="center"/>
      <protection hidden="1"/>
    </xf>
    <xf numFmtId="164" fontId="41" fillId="3" borderId="9" xfId="0" applyNumberFormat="1" applyFont="1" applyFill="1" applyBorder="1" applyAlignment="1" applyProtection="1">
      <alignment horizontal="right"/>
      <protection hidden="1"/>
    </xf>
    <xf numFmtId="164" fontId="32" fillId="3" borderId="0" xfId="4" applyNumberFormat="1" applyFont="1" applyFill="1" applyAlignment="1" applyProtection="1">
      <alignment horizontal="left" indent="2"/>
      <protection hidden="1"/>
    </xf>
    <xf numFmtId="164" fontId="32" fillId="3" borderId="2" xfId="4" applyNumberFormat="1" applyFont="1" applyFill="1" applyBorder="1" applyAlignment="1" applyProtection="1">
      <alignment horizontal="left" indent="2"/>
      <protection hidden="1"/>
    </xf>
    <xf numFmtId="164" fontId="55" fillId="3" borderId="0" xfId="4" applyNumberFormat="1" applyFont="1" applyFill="1" applyProtection="1">
      <protection hidden="1"/>
    </xf>
    <xf numFmtId="164" fontId="55" fillId="3" borderId="0" xfId="0" applyNumberFormat="1" applyFont="1" applyFill="1" applyProtection="1">
      <protection hidden="1"/>
    </xf>
    <xf numFmtId="164" fontId="32" fillId="3" borderId="0" xfId="4" applyNumberFormat="1" applyFont="1" applyFill="1" applyProtection="1">
      <protection hidden="1"/>
    </xf>
    <xf numFmtId="164" fontId="33" fillId="3" borderId="0" xfId="0" applyNumberFormat="1" applyFont="1" applyFill="1" applyProtection="1">
      <protection hidden="1"/>
    </xf>
    <xf numFmtId="164" fontId="56" fillId="3" borderId="0" xfId="4" applyNumberFormat="1" applyFont="1" applyFill="1" applyAlignment="1" applyProtection="1">
      <alignment horizontal="center"/>
      <protection hidden="1"/>
    </xf>
    <xf numFmtId="164" fontId="33" fillId="3" borderId="0" xfId="6" applyNumberFormat="1" applyFont="1" applyFill="1" applyBorder="1" applyAlignment="1" applyProtection="1">
      <protection hidden="1"/>
    </xf>
    <xf numFmtId="0" fontId="57" fillId="3" borderId="0" xfId="0" applyFont="1" applyFill="1" applyAlignment="1" applyProtection="1">
      <alignment horizontal="left"/>
      <protection hidden="1"/>
    </xf>
    <xf numFmtId="164" fontId="32" fillId="3" borderId="0" xfId="0" applyNumberFormat="1" applyFont="1" applyFill="1" applyProtection="1">
      <protection hidden="1"/>
    </xf>
    <xf numFmtId="164" fontId="33" fillId="3" borderId="2" xfId="0" applyNumberFormat="1" applyFont="1" applyFill="1" applyBorder="1" applyProtection="1">
      <protection hidden="1"/>
    </xf>
    <xf numFmtId="164" fontId="33" fillId="3" borderId="0" xfId="4" applyNumberFormat="1" applyFont="1" applyFill="1" applyAlignment="1" applyProtection="1">
      <alignment horizontal="center"/>
      <protection hidden="1"/>
    </xf>
    <xf numFmtId="164" fontId="33" fillId="3" borderId="2" xfId="6" applyNumberFormat="1" applyFont="1" applyFill="1" applyBorder="1" applyAlignment="1" applyProtection="1">
      <protection hidden="1"/>
    </xf>
    <xf numFmtId="0" fontId="13" fillId="7" borderId="0" xfId="0" applyFont="1" applyFill="1" applyProtection="1">
      <protection hidden="1"/>
    </xf>
    <xf numFmtId="0" fontId="13" fillId="7" borderId="15" xfId="0" applyFont="1" applyFill="1" applyBorder="1" applyProtection="1">
      <protection hidden="1"/>
    </xf>
    <xf numFmtId="0" fontId="13" fillId="7" borderId="2" xfId="0" applyFont="1" applyFill="1" applyBorder="1" applyProtection="1">
      <protection hidden="1"/>
    </xf>
    <xf numFmtId="164" fontId="41" fillId="3" borderId="10" xfId="4" applyNumberFormat="1" applyFont="1" applyFill="1" applyBorder="1" applyAlignment="1" applyProtection="1">
      <alignment horizontal="center"/>
      <protection hidden="1"/>
    </xf>
    <xf numFmtId="0" fontId="59" fillId="3" borderId="0" xfId="0" applyFont="1" applyFill="1" applyProtection="1">
      <protection hidden="1"/>
    </xf>
    <xf numFmtId="0" fontId="39" fillId="3" borderId="0" xfId="0" applyFont="1" applyFill="1" applyProtection="1">
      <protection hidden="1"/>
    </xf>
    <xf numFmtId="164" fontId="8" fillId="3" borderId="0" xfId="4" applyNumberFormat="1" applyFont="1" applyFill="1" applyAlignment="1" applyProtection="1">
      <alignment vertical="center"/>
      <protection hidden="1"/>
    </xf>
    <xf numFmtId="169" fontId="5" fillId="3" borderId="0" xfId="4" applyNumberFormat="1" applyFont="1" applyFill="1" applyProtection="1">
      <protection hidden="1"/>
    </xf>
    <xf numFmtId="0" fontId="6" fillId="3" borderId="0" xfId="3" applyFont="1" applyFill="1" applyAlignment="1" applyProtection="1">
      <alignment horizontal="center"/>
      <protection hidden="1"/>
    </xf>
    <xf numFmtId="164" fontId="60" fillId="3" borderId="0" xfId="4" applyNumberFormat="1" applyFont="1" applyFill="1" applyAlignment="1" applyProtection="1">
      <alignment horizontal="right"/>
      <protection hidden="1"/>
    </xf>
    <xf numFmtId="164" fontId="61" fillId="3" borderId="0" xfId="0" applyNumberFormat="1" applyFont="1" applyFill="1" applyAlignment="1" applyProtection="1">
      <alignment horizontal="right"/>
      <protection hidden="1"/>
    </xf>
    <xf numFmtId="164" fontId="40" fillId="7" borderId="0" xfId="0" applyNumberFormat="1" applyFont="1" applyFill="1" applyAlignment="1" applyProtection="1">
      <alignment vertical="center"/>
      <protection hidden="1"/>
    </xf>
    <xf numFmtId="164" fontId="63" fillId="3" borderId="0" xfId="4" applyNumberFormat="1" applyFont="1" applyFill="1" applyAlignment="1" applyProtection="1">
      <alignment horizontal="center"/>
      <protection hidden="1"/>
    </xf>
    <xf numFmtId="164" fontId="40" fillId="7" borderId="0" xfId="0" applyNumberFormat="1" applyFont="1" applyFill="1" applyAlignment="1" applyProtection="1">
      <alignment horizontal="right" vertical="center"/>
      <protection hidden="1"/>
    </xf>
    <xf numFmtId="170" fontId="13" fillId="3" borderId="0" xfId="0" applyNumberFormat="1" applyFont="1" applyFill="1" applyAlignment="1" applyProtection="1">
      <alignment horizontal="center"/>
      <protection hidden="1"/>
    </xf>
    <xf numFmtId="170" fontId="40" fillId="3" borderId="0" xfId="0" applyNumberFormat="1" applyFont="1" applyFill="1" applyAlignment="1" applyProtection="1">
      <alignment horizontal="center"/>
      <protection hidden="1"/>
    </xf>
    <xf numFmtId="170" fontId="40" fillId="0" borderId="0" xfId="0" applyNumberFormat="1" applyFont="1" applyAlignment="1" applyProtection="1">
      <alignment horizontal="center"/>
      <protection hidden="1"/>
    </xf>
    <xf numFmtId="164" fontId="40" fillId="7" borderId="15" xfId="0" applyNumberFormat="1" applyFont="1" applyFill="1" applyBorder="1" applyAlignment="1" applyProtection="1">
      <alignment horizontal="center" vertical="center"/>
      <protection hidden="1"/>
    </xf>
    <xf numFmtId="164" fontId="59" fillId="3" borderId="0" xfId="4" applyNumberFormat="1" applyFont="1" applyFill="1" applyAlignment="1" applyProtection="1">
      <alignment horizontal="center"/>
      <protection hidden="1"/>
    </xf>
    <xf numFmtId="167" fontId="40" fillId="7" borderId="11" xfId="4" applyNumberFormat="1" applyFont="1" applyFill="1" applyBorder="1" applyAlignment="1" applyProtection="1">
      <alignment horizontal="center" vertical="center"/>
      <protection hidden="1"/>
    </xf>
    <xf numFmtId="170" fontId="13" fillId="7" borderId="0" xfId="0" applyNumberFormat="1" applyFont="1" applyFill="1" applyAlignment="1" applyProtection="1">
      <alignment horizontal="center"/>
      <protection hidden="1"/>
    </xf>
    <xf numFmtId="170" fontId="13" fillId="7" borderId="15" xfId="0" applyNumberFormat="1" applyFont="1" applyFill="1" applyBorder="1" applyAlignment="1" applyProtection="1">
      <alignment horizontal="center"/>
      <protection hidden="1"/>
    </xf>
    <xf numFmtId="0" fontId="40" fillId="7" borderId="12" xfId="0" applyFont="1" applyFill="1" applyBorder="1" applyProtection="1">
      <protection hidden="1"/>
    </xf>
    <xf numFmtId="170" fontId="40" fillId="7" borderId="0" xfId="0" applyNumberFormat="1" applyFont="1" applyFill="1" applyAlignment="1" applyProtection="1">
      <alignment horizontal="center"/>
      <protection hidden="1"/>
    </xf>
    <xf numFmtId="170" fontId="40" fillId="7" borderId="15" xfId="0" applyNumberFormat="1" applyFont="1" applyFill="1" applyBorder="1" applyAlignment="1" applyProtection="1">
      <alignment horizontal="center"/>
      <protection hidden="1"/>
    </xf>
    <xf numFmtId="0" fontId="40" fillId="7" borderId="0" xfId="0" applyFont="1" applyFill="1" applyAlignment="1" applyProtection="1">
      <alignment horizontal="center"/>
      <protection hidden="1"/>
    </xf>
    <xf numFmtId="170" fontId="40" fillId="7" borderId="2" xfId="0" applyNumberFormat="1" applyFont="1" applyFill="1" applyBorder="1" applyAlignment="1" applyProtection="1">
      <alignment horizontal="center"/>
      <protection hidden="1"/>
    </xf>
    <xf numFmtId="170" fontId="40" fillId="7" borderId="14" xfId="0" applyNumberFormat="1" applyFont="1" applyFill="1" applyBorder="1" applyAlignment="1" applyProtection="1">
      <alignment horizontal="center"/>
      <protection hidden="1"/>
    </xf>
    <xf numFmtId="170" fontId="13" fillId="7" borderId="0" xfId="0" applyNumberFormat="1" applyFont="1" applyFill="1" applyAlignment="1" applyProtection="1">
      <alignment horizontal="left"/>
      <protection hidden="1"/>
    </xf>
    <xf numFmtId="164" fontId="41" fillId="7" borderId="12" xfId="2" applyNumberFormat="1" applyFont="1" applyFill="1" applyBorder="1" applyAlignment="1" applyProtection="1">
      <protection hidden="1"/>
    </xf>
    <xf numFmtId="164" fontId="41" fillId="7" borderId="0" xfId="2" applyNumberFormat="1" applyFont="1" applyFill="1" applyBorder="1" applyAlignment="1" applyProtection="1">
      <alignment horizontal="left" indent="2"/>
      <protection hidden="1"/>
    </xf>
    <xf numFmtId="164" fontId="41" fillId="7" borderId="0" xfId="2" applyNumberFormat="1" applyFont="1" applyFill="1" applyBorder="1" applyAlignment="1" applyProtection="1">
      <protection hidden="1"/>
    </xf>
    <xf numFmtId="168" fontId="40" fillId="7" borderId="15" xfId="1" applyNumberFormat="1" applyFont="1" applyFill="1" applyBorder="1" applyAlignment="1" applyProtection="1">
      <alignment horizontal="center"/>
      <protection hidden="1"/>
    </xf>
    <xf numFmtId="164" fontId="41" fillId="7" borderId="12" xfId="0" applyNumberFormat="1" applyFont="1" applyFill="1" applyBorder="1" applyProtection="1">
      <protection hidden="1"/>
    </xf>
    <xf numFmtId="0" fontId="40" fillId="7" borderId="0" xfId="0" applyFont="1" applyFill="1" applyProtection="1">
      <protection hidden="1"/>
    </xf>
    <xf numFmtId="0" fontId="36" fillId="7" borderId="12" xfId="0" applyFont="1" applyFill="1" applyBorder="1" applyProtection="1">
      <protection hidden="1"/>
    </xf>
    <xf numFmtId="164" fontId="41" fillId="7" borderId="12" xfId="2" applyNumberFormat="1" applyFont="1" applyFill="1" applyBorder="1" applyAlignment="1" applyProtection="1">
      <alignment vertical="top"/>
      <protection hidden="1"/>
    </xf>
    <xf numFmtId="0" fontId="40" fillId="7" borderId="15" xfId="0" applyFont="1" applyFill="1" applyBorder="1" applyAlignment="1" applyProtection="1">
      <alignment horizontal="center"/>
      <protection hidden="1"/>
    </xf>
    <xf numFmtId="9" fontId="41" fillId="7" borderId="0" xfId="1" applyFont="1" applyFill="1" applyBorder="1" applyAlignment="1" applyProtection="1">
      <alignment horizontal="center"/>
      <protection hidden="1"/>
    </xf>
    <xf numFmtId="9" fontId="41" fillId="7" borderId="15" xfId="1" applyFont="1" applyFill="1" applyBorder="1" applyAlignment="1" applyProtection="1">
      <alignment horizontal="center"/>
      <protection hidden="1"/>
    </xf>
    <xf numFmtId="164" fontId="41" fillId="7" borderId="4" xfId="0" applyNumberFormat="1" applyFont="1" applyFill="1" applyBorder="1" applyProtection="1">
      <protection hidden="1"/>
    </xf>
    <xf numFmtId="168" fontId="41" fillId="3" borderId="9" xfId="2" applyNumberFormat="1" applyFont="1" applyFill="1" applyBorder="1" applyAlignment="1" applyProtection="1">
      <alignment horizontal="center"/>
      <protection hidden="1"/>
    </xf>
    <xf numFmtId="0" fontId="41" fillId="7" borderId="12" xfId="0" applyFont="1" applyFill="1" applyBorder="1" applyProtection="1">
      <protection hidden="1"/>
    </xf>
    <xf numFmtId="0" fontId="40" fillId="7" borderId="13" xfId="0" applyFont="1" applyFill="1" applyBorder="1" applyProtection="1">
      <protection hidden="1"/>
    </xf>
    <xf numFmtId="164" fontId="40" fillId="7" borderId="12" xfId="0" applyNumberFormat="1" applyFont="1" applyFill="1" applyBorder="1" applyAlignment="1" applyProtection="1">
      <alignment horizontal="center" vertical="center"/>
      <protection hidden="1"/>
    </xf>
    <xf numFmtId="0" fontId="62" fillId="7" borderId="0" xfId="0" applyFont="1" applyFill="1" applyAlignment="1" applyProtection="1">
      <alignment vertical="center"/>
      <protection hidden="1"/>
    </xf>
    <xf numFmtId="167" fontId="62" fillId="7" borderId="0" xfId="4" applyNumberFormat="1" applyFont="1" applyFill="1" applyAlignment="1" applyProtection="1">
      <alignment vertical="center"/>
      <protection hidden="1"/>
    </xf>
    <xf numFmtId="164" fontId="62" fillId="7" borderId="0" xfId="0" applyNumberFormat="1" applyFont="1" applyFill="1" applyAlignment="1" applyProtection="1">
      <alignment vertical="center"/>
      <protection hidden="1"/>
    </xf>
    <xf numFmtId="167" fontId="62" fillId="7" borderId="15" xfId="4" applyNumberFormat="1" applyFont="1" applyFill="1" applyBorder="1" applyAlignment="1" applyProtection="1">
      <alignment vertical="center"/>
      <protection hidden="1"/>
    </xf>
    <xf numFmtId="0" fontId="40" fillId="7" borderId="9" xfId="0" applyFont="1" applyFill="1" applyBorder="1" applyProtection="1">
      <protection hidden="1"/>
    </xf>
    <xf numFmtId="167" fontId="40" fillId="7" borderId="10" xfId="4" applyNumberFormat="1" applyFont="1" applyFill="1" applyBorder="1" applyAlignment="1" applyProtection="1">
      <alignment horizontal="center" vertical="center"/>
      <protection hidden="1"/>
    </xf>
    <xf numFmtId="167" fontId="62" fillId="7" borderId="12" xfId="4" applyNumberFormat="1" applyFont="1" applyFill="1" applyBorder="1" applyAlignment="1" applyProtection="1">
      <alignment vertical="center"/>
      <protection hidden="1"/>
    </xf>
    <xf numFmtId="170" fontId="13" fillId="7" borderId="12" xfId="0" applyNumberFormat="1" applyFont="1" applyFill="1" applyBorder="1" applyAlignment="1" applyProtection="1">
      <alignment horizontal="center"/>
      <protection hidden="1"/>
    </xf>
    <xf numFmtId="170" fontId="40" fillId="7" borderId="12" xfId="0" applyNumberFormat="1" applyFont="1" applyFill="1" applyBorder="1" applyAlignment="1" applyProtection="1">
      <alignment horizontal="center"/>
      <protection hidden="1"/>
    </xf>
    <xf numFmtId="170" fontId="40" fillId="7" borderId="13" xfId="0" applyNumberFormat="1" applyFont="1" applyFill="1" applyBorder="1" applyAlignment="1" applyProtection="1">
      <alignment horizontal="center"/>
      <protection hidden="1"/>
    </xf>
    <xf numFmtId="164" fontId="40" fillId="3" borderId="11" xfId="0" applyNumberFormat="1" applyFont="1" applyFill="1" applyBorder="1" applyAlignment="1" applyProtection="1">
      <alignment horizontal="center" vertical="center"/>
      <protection hidden="1"/>
    </xf>
    <xf numFmtId="164" fontId="40" fillId="3" borderId="14" xfId="0" applyNumberFormat="1" applyFont="1" applyFill="1" applyBorder="1" applyAlignment="1" applyProtection="1">
      <alignment horizontal="center" vertical="center"/>
      <protection hidden="1"/>
    </xf>
    <xf numFmtId="170" fontId="13" fillId="3" borderId="10" xfId="0" applyNumberFormat="1" applyFont="1" applyFill="1" applyBorder="1" applyAlignment="1" applyProtection="1">
      <alignment horizontal="left"/>
      <protection hidden="1"/>
    </xf>
    <xf numFmtId="170" fontId="13" fillId="3" borderId="13" xfId="0" applyNumberFormat="1" applyFont="1" applyFill="1" applyBorder="1" applyAlignment="1" applyProtection="1">
      <alignment horizontal="left"/>
      <protection hidden="1"/>
    </xf>
    <xf numFmtId="0" fontId="40" fillId="3" borderId="10" xfId="0" applyFont="1" applyFill="1" applyBorder="1" applyAlignment="1" applyProtection="1">
      <alignment horizontal="left"/>
      <protection hidden="1"/>
    </xf>
    <xf numFmtId="170" fontId="40" fillId="3" borderId="13" xfId="0" applyNumberFormat="1" applyFont="1" applyFill="1" applyBorder="1" applyAlignment="1" applyProtection="1">
      <alignment horizontal="left"/>
      <protection hidden="1"/>
    </xf>
    <xf numFmtId="164" fontId="40" fillId="3" borderId="10" xfId="0" applyNumberFormat="1" applyFont="1" applyFill="1" applyBorder="1" applyAlignment="1" applyProtection="1">
      <alignment horizontal="right" vertical="center"/>
      <protection hidden="1"/>
    </xf>
    <xf numFmtId="164" fontId="40" fillId="3" borderId="9" xfId="0" applyNumberFormat="1" applyFont="1" applyFill="1" applyBorder="1" applyAlignment="1" applyProtection="1">
      <alignment horizontal="right" vertical="center"/>
      <protection hidden="1"/>
    </xf>
    <xf numFmtId="164" fontId="40" fillId="3" borderId="13" xfId="0" applyNumberFormat="1" applyFont="1" applyFill="1" applyBorder="1" applyAlignment="1" applyProtection="1">
      <alignment horizontal="right" vertical="center"/>
      <protection hidden="1"/>
    </xf>
    <xf numFmtId="164" fontId="40" fillId="3" borderId="12" xfId="0" applyNumberFormat="1" applyFont="1" applyFill="1" applyBorder="1" applyAlignment="1" applyProtection="1">
      <alignment horizontal="right" vertical="center"/>
      <protection hidden="1"/>
    </xf>
    <xf numFmtId="164" fontId="40" fillId="3" borderId="0" xfId="0" applyNumberFormat="1" applyFont="1" applyFill="1" applyAlignment="1" applyProtection="1">
      <alignment horizontal="right" vertical="center"/>
      <protection hidden="1"/>
    </xf>
    <xf numFmtId="164" fontId="40" fillId="3" borderId="11" xfId="0" applyNumberFormat="1" applyFont="1" applyFill="1" applyBorder="1" applyAlignment="1" applyProtection="1">
      <alignment horizontal="right" vertical="center" indent="1"/>
      <protection hidden="1"/>
    </xf>
    <xf numFmtId="164" fontId="40" fillId="3" borderId="14" xfId="0" applyNumberFormat="1" applyFont="1" applyFill="1" applyBorder="1" applyAlignment="1" applyProtection="1">
      <alignment horizontal="right" vertical="center" indent="1"/>
      <protection hidden="1"/>
    </xf>
    <xf numFmtId="164" fontId="40" fillId="7" borderId="0" xfId="0" applyNumberFormat="1" applyFont="1" applyFill="1" applyAlignment="1" applyProtection="1">
      <alignment horizontal="right" vertical="center" indent="1"/>
      <protection hidden="1"/>
    </xf>
    <xf numFmtId="164" fontId="40" fillId="3" borderId="15" xfId="0" applyNumberFormat="1" applyFont="1" applyFill="1" applyBorder="1" applyAlignment="1" applyProtection="1">
      <alignment horizontal="right" vertical="center" indent="1"/>
      <protection hidden="1"/>
    </xf>
    <xf numFmtId="167" fontId="40" fillId="7" borderId="9" xfId="4" applyNumberFormat="1" applyFont="1" applyFill="1" applyBorder="1" applyAlignment="1" applyProtection="1">
      <alignment horizontal="right" vertical="center"/>
      <protection hidden="1"/>
    </xf>
    <xf numFmtId="167" fontId="40" fillId="7" borderId="9" xfId="4" applyNumberFormat="1" applyFont="1" applyFill="1" applyBorder="1" applyAlignment="1" applyProtection="1">
      <alignment horizontal="right" vertical="center" indent="1"/>
      <protection hidden="1"/>
    </xf>
    <xf numFmtId="164" fontId="64" fillId="8" borderId="48" xfId="2" applyNumberFormat="1" applyFont="1" applyFill="1" applyBorder="1" applyAlignment="1" applyProtection="1">
      <alignment horizontal="left"/>
      <protection locked="0" hidden="1"/>
    </xf>
    <xf numFmtId="164" fontId="64" fillId="8" borderId="42" xfId="2" applyNumberFormat="1" applyFont="1" applyFill="1" applyBorder="1" applyAlignment="1" applyProtection="1">
      <alignment horizontal="center"/>
      <protection locked="0" hidden="1"/>
    </xf>
    <xf numFmtId="164" fontId="64" fillId="8" borderId="33" xfId="2" applyNumberFormat="1" applyFont="1" applyFill="1" applyBorder="1" applyAlignment="1" applyProtection="1">
      <alignment horizontal="center"/>
      <protection locked="0" hidden="1"/>
    </xf>
    <xf numFmtId="164" fontId="64" fillId="8" borderId="51" xfId="2" applyNumberFormat="1" applyFont="1" applyFill="1" applyBorder="1" applyAlignment="1" applyProtection="1">
      <alignment horizontal="center"/>
      <protection locked="0" hidden="1"/>
    </xf>
    <xf numFmtId="164" fontId="64" fillId="8" borderId="54" xfId="2" applyNumberFormat="1" applyFont="1" applyFill="1" applyBorder="1" applyAlignment="1" applyProtection="1">
      <alignment horizontal="center"/>
      <protection locked="0" hidden="1"/>
    </xf>
    <xf numFmtId="9" fontId="64" fillId="8" borderId="48" xfId="1" applyFont="1" applyFill="1" applyBorder="1" applyAlignment="1" applyProtection="1">
      <alignment horizontal="center"/>
      <protection locked="0" hidden="1"/>
    </xf>
    <xf numFmtId="169" fontId="64" fillId="8" borderId="19" xfId="2" applyNumberFormat="1" applyFont="1" applyFill="1" applyBorder="1" applyAlignment="1" applyProtection="1">
      <alignment horizontal="center"/>
      <protection locked="0" hidden="1"/>
    </xf>
    <xf numFmtId="169" fontId="64" fillId="8" borderId="57" xfId="2" applyNumberFormat="1" applyFont="1" applyFill="1" applyBorder="1" applyAlignment="1" applyProtection="1">
      <alignment horizontal="center"/>
      <protection locked="0" hidden="1"/>
    </xf>
    <xf numFmtId="164" fontId="64" fillId="8" borderId="48" xfId="2" applyNumberFormat="1" applyFont="1" applyFill="1" applyBorder="1" applyAlignment="1" applyProtection="1">
      <alignment horizontal="center"/>
      <protection locked="0" hidden="1"/>
    </xf>
    <xf numFmtId="9" fontId="64" fillId="8" borderId="51" xfId="1" applyFont="1" applyFill="1" applyBorder="1" applyAlignment="1" applyProtection="1">
      <alignment horizontal="center"/>
      <protection locked="0" hidden="1"/>
    </xf>
    <xf numFmtId="9" fontId="64" fillId="8" borderId="73" xfId="1" applyFont="1" applyFill="1" applyBorder="1" applyAlignment="1" applyProtection="1">
      <alignment horizontal="center"/>
      <protection locked="0" hidden="1"/>
    </xf>
    <xf numFmtId="9" fontId="64" fillId="8" borderId="22" xfId="1" applyFont="1" applyFill="1" applyBorder="1" applyAlignment="1" applyProtection="1">
      <alignment horizontal="center"/>
      <protection locked="0" hidden="1"/>
    </xf>
    <xf numFmtId="9" fontId="64" fillId="8" borderId="24" xfId="1" applyFont="1" applyFill="1" applyBorder="1" applyAlignment="1" applyProtection="1">
      <alignment horizontal="center"/>
      <protection locked="0" hidden="1"/>
    </xf>
    <xf numFmtId="168" fontId="64" fillId="8" borderId="74" xfId="1" applyNumberFormat="1" applyFont="1" applyFill="1" applyBorder="1" applyAlignment="1" applyProtection="1">
      <alignment horizontal="center"/>
      <protection locked="0" hidden="1"/>
    </xf>
    <xf numFmtId="168" fontId="64" fillId="8" borderId="69" xfId="1" applyNumberFormat="1" applyFont="1" applyFill="1" applyBorder="1" applyAlignment="1" applyProtection="1">
      <alignment horizontal="center"/>
      <protection locked="0" hidden="1"/>
    </xf>
    <xf numFmtId="9" fontId="64" fillId="8" borderId="26" xfId="1" applyFont="1" applyFill="1" applyBorder="1" applyAlignment="1" applyProtection="1">
      <alignment horizontal="center"/>
      <protection locked="0" hidden="1"/>
    </xf>
    <xf numFmtId="164" fontId="64" fillId="8" borderId="60" xfId="2" applyNumberFormat="1" applyFont="1" applyFill="1" applyBorder="1" applyAlignment="1" applyProtection="1">
      <alignment horizontal="center"/>
      <protection locked="0" hidden="1"/>
    </xf>
    <xf numFmtId="164" fontId="64" fillId="8" borderId="66" xfId="2" applyNumberFormat="1" applyFont="1" applyFill="1" applyBorder="1" applyAlignment="1" applyProtection="1">
      <alignment horizontal="center"/>
      <protection locked="0" hidden="1"/>
    </xf>
    <xf numFmtId="164" fontId="64" fillId="8" borderId="63" xfId="2" applyNumberFormat="1" applyFont="1" applyFill="1" applyBorder="1" applyAlignment="1" applyProtection="1">
      <alignment horizontal="center"/>
      <protection locked="0" hidden="1"/>
    </xf>
    <xf numFmtId="164" fontId="64" fillId="5" borderId="45" xfId="2" applyNumberFormat="1" applyFont="1" applyFill="1" applyBorder="1" applyAlignment="1" applyProtection="1">
      <protection hidden="1"/>
    </xf>
    <xf numFmtId="171" fontId="49" fillId="6" borderId="9" xfId="4" applyNumberFormat="1" applyFont="1" applyFill="1" applyBorder="1" applyAlignment="1" applyProtection="1">
      <alignment horizontal="center"/>
      <protection hidden="1"/>
    </xf>
    <xf numFmtId="172" fontId="49" fillId="6" borderId="9" xfId="4" applyNumberFormat="1" applyFont="1" applyFill="1" applyBorder="1" applyAlignment="1" applyProtection="1">
      <alignment horizontal="center"/>
      <protection hidden="1"/>
    </xf>
    <xf numFmtId="164" fontId="64" fillId="5" borderId="16" xfId="2" applyNumberFormat="1" applyFont="1" applyFill="1" applyBorder="1" applyAlignment="1" applyProtection="1">
      <protection hidden="1"/>
    </xf>
    <xf numFmtId="164" fontId="64" fillId="5" borderId="32" xfId="2" applyNumberFormat="1" applyFont="1" applyFill="1" applyBorder="1" applyAlignment="1" applyProtection="1">
      <protection hidden="1"/>
    </xf>
    <xf numFmtId="164" fontId="65" fillId="5" borderId="28" xfId="2" applyNumberFormat="1" applyFont="1" applyFill="1" applyBorder="1" applyAlignment="1" applyProtection="1">
      <alignment horizontal="center"/>
      <protection hidden="1"/>
    </xf>
    <xf numFmtId="164" fontId="65" fillId="5" borderId="61" xfId="2" applyNumberFormat="1" applyFont="1" applyFill="1" applyBorder="1" applyAlignment="1" applyProtection="1">
      <alignment horizontal="center"/>
      <protection hidden="1"/>
    </xf>
    <xf numFmtId="164" fontId="65" fillId="5" borderId="67" xfId="2" applyNumberFormat="1" applyFont="1" applyFill="1" applyBorder="1" applyAlignment="1" applyProtection="1">
      <alignment horizontal="center"/>
      <protection hidden="1"/>
    </xf>
    <xf numFmtId="164" fontId="65" fillId="5" borderId="64" xfId="2" applyNumberFormat="1" applyFont="1" applyFill="1" applyBorder="1" applyAlignment="1" applyProtection="1">
      <alignment horizontal="center"/>
      <protection hidden="1"/>
    </xf>
    <xf numFmtId="9" fontId="65" fillId="5" borderId="20" xfId="1" applyFont="1" applyFill="1" applyBorder="1" applyAlignment="1" applyProtection="1">
      <alignment horizontal="center"/>
      <protection hidden="1"/>
    </xf>
    <xf numFmtId="164" fontId="65" fillId="5" borderId="46" xfId="2" applyNumberFormat="1" applyFont="1" applyFill="1" applyBorder="1" applyAlignment="1" applyProtection="1">
      <protection hidden="1"/>
    </xf>
    <xf numFmtId="164" fontId="65" fillId="5" borderId="49" xfId="2" applyNumberFormat="1" applyFont="1" applyFill="1" applyBorder="1" applyAlignment="1" applyProtection="1">
      <alignment horizontal="left"/>
      <protection hidden="1"/>
    </xf>
    <xf numFmtId="164" fontId="65" fillId="5" borderId="43" xfId="2" applyNumberFormat="1" applyFont="1" applyFill="1" applyBorder="1" applyAlignment="1" applyProtection="1">
      <alignment horizontal="center"/>
      <protection hidden="1"/>
    </xf>
    <xf numFmtId="164" fontId="65" fillId="5" borderId="17" xfId="2" applyNumberFormat="1" applyFont="1" applyFill="1" applyBorder="1" applyAlignment="1" applyProtection="1">
      <alignment horizontal="center"/>
      <protection hidden="1"/>
    </xf>
    <xf numFmtId="164" fontId="65" fillId="5" borderId="52" xfId="2" applyNumberFormat="1" applyFont="1" applyFill="1" applyBorder="1" applyAlignment="1" applyProtection="1">
      <alignment horizontal="center"/>
      <protection hidden="1"/>
    </xf>
    <xf numFmtId="171" fontId="49" fillId="6" borderId="0" xfId="4" applyNumberFormat="1" applyFont="1" applyFill="1" applyAlignment="1" applyProtection="1">
      <alignment horizontal="center"/>
      <protection hidden="1"/>
    </xf>
    <xf numFmtId="172" fontId="49" fillId="6" borderId="0" xfId="4" applyNumberFormat="1" applyFont="1" applyFill="1" applyAlignment="1" applyProtection="1">
      <alignment horizontal="center"/>
      <protection hidden="1"/>
    </xf>
    <xf numFmtId="164" fontId="65" fillId="5" borderId="55" xfId="2" applyNumberFormat="1" applyFont="1" applyFill="1" applyBorder="1" applyAlignment="1" applyProtection="1">
      <alignment horizontal="center"/>
      <protection hidden="1"/>
    </xf>
    <xf numFmtId="9" fontId="65" fillId="5" borderId="49" xfId="1" applyFont="1" applyFill="1" applyBorder="1" applyAlignment="1" applyProtection="1">
      <alignment horizontal="center"/>
      <protection hidden="1"/>
    </xf>
    <xf numFmtId="169" fontId="65" fillId="5" borderId="19" xfId="2" applyNumberFormat="1" applyFont="1" applyFill="1" applyBorder="1" applyAlignment="1" applyProtection="1">
      <alignment horizontal="center"/>
      <protection hidden="1"/>
    </xf>
    <xf numFmtId="169" fontId="65" fillId="5" borderId="58" xfId="2" applyNumberFormat="1" applyFont="1" applyFill="1" applyBorder="1" applyAlignment="1" applyProtection="1">
      <alignment horizontal="center"/>
      <protection hidden="1"/>
    </xf>
    <xf numFmtId="164" fontId="65" fillId="5" borderId="49" xfId="2" applyNumberFormat="1" applyFont="1" applyFill="1" applyBorder="1" applyAlignment="1" applyProtection="1">
      <alignment horizontal="center"/>
      <protection hidden="1"/>
    </xf>
    <xf numFmtId="9" fontId="65" fillId="5" borderId="52" xfId="1" applyFont="1" applyFill="1" applyBorder="1" applyAlignment="1" applyProtection="1">
      <alignment horizontal="center"/>
      <protection hidden="1"/>
    </xf>
    <xf numFmtId="164" fontId="65" fillId="5" borderId="21" xfId="2" applyNumberFormat="1" applyFont="1" applyFill="1" applyBorder="1" applyAlignment="1" applyProtection="1">
      <protection hidden="1"/>
    </xf>
    <xf numFmtId="9" fontId="65" fillId="5" borderId="71" xfId="1" applyFont="1" applyFill="1" applyBorder="1" applyAlignment="1" applyProtection="1">
      <alignment horizontal="center"/>
      <protection hidden="1"/>
    </xf>
    <xf numFmtId="164" fontId="65" fillId="5" borderId="18" xfId="2" applyNumberFormat="1" applyFont="1" applyFill="1" applyBorder="1" applyAlignment="1" applyProtection="1">
      <protection hidden="1"/>
    </xf>
    <xf numFmtId="164" fontId="65" fillId="5" borderId="34" xfId="2" applyNumberFormat="1" applyFont="1" applyFill="1" applyBorder="1" applyAlignment="1" applyProtection="1">
      <alignment horizontal="center"/>
      <protection hidden="1"/>
    </xf>
    <xf numFmtId="164" fontId="65" fillId="5" borderId="62" xfId="2" applyNumberFormat="1" applyFont="1" applyFill="1" applyBorder="1" applyAlignment="1" applyProtection="1">
      <alignment horizontal="center"/>
      <protection hidden="1"/>
    </xf>
    <xf numFmtId="164" fontId="65" fillId="5" borderId="68" xfId="2" applyNumberFormat="1" applyFont="1" applyFill="1" applyBorder="1" applyAlignment="1" applyProtection="1">
      <alignment horizontal="center"/>
      <protection hidden="1"/>
    </xf>
    <xf numFmtId="164" fontId="65" fillId="5" borderId="65" xfId="2" applyNumberFormat="1" applyFont="1" applyFill="1" applyBorder="1" applyAlignment="1" applyProtection="1">
      <alignment horizontal="center"/>
      <protection hidden="1"/>
    </xf>
    <xf numFmtId="9" fontId="65" fillId="5" borderId="36" xfId="1" applyFont="1" applyFill="1" applyBorder="1" applyAlignment="1" applyProtection="1">
      <alignment horizontal="center"/>
      <protection hidden="1"/>
    </xf>
    <xf numFmtId="164" fontId="65" fillId="5" borderId="47" xfId="2" applyNumberFormat="1" applyFont="1" applyFill="1" applyBorder="1" applyAlignment="1" applyProtection="1">
      <protection hidden="1"/>
    </xf>
    <xf numFmtId="164" fontId="65" fillId="5" borderId="50" xfId="2" applyNumberFormat="1" applyFont="1" applyFill="1" applyBorder="1" applyAlignment="1" applyProtection="1">
      <alignment horizontal="left"/>
      <protection hidden="1"/>
    </xf>
    <xf numFmtId="164" fontId="65" fillId="5" borderId="44" xfId="2" applyNumberFormat="1" applyFont="1" applyFill="1" applyBorder="1" applyAlignment="1" applyProtection="1">
      <alignment horizontal="center"/>
      <protection hidden="1"/>
    </xf>
    <xf numFmtId="164" fontId="65" fillId="5" borderId="39" xfId="2" applyNumberFormat="1" applyFont="1" applyFill="1" applyBorder="1" applyAlignment="1" applyProtection="1">
      <alignment horizontal="center"/>
      <protection hidden="1"/>
    </xf>
    <xf numFmtId="164" fontId="65" fillId="5" borderId="53" xfId="2" applyNumberFormat="1" applyFont="1" applyFill="1" applyBorder="1" applyAlignment="1" applyProtection="1">
      <alignment horizontal="center"/>
      <protection hidden="1"/>
    </xf>
    <xf numFmtId="171" fontId="49" fillId="6" borderId="2" xfId="4" applyNumberFormat="1" applyFont="1" applyFill="1" applyBorder="1" applyAlignment="1" applyProtection="1">
      <alignment horizontal="center"/>
      <protection hidden="1"/>
    </xf>
    <xf numFmtId="172" fontId="49" fillId="6" borderId="2" xfId="4" applyNumberFormat="1" applyFont="1" applyFill="1" applyBorder="1" applyAlignment="1" applyProtection="1">
      <alignment horizontal="center"/>
      <protection hidden="1"/>
    </xf>
    <xf numFmtId="164" fontId="65" fillId="5" borderId="37" xfId="2" applyNumberFormat="1" applyFont="1" applyFill="1" applyBorder="1" applyAlignment="1" applyProtection="1">
      <protection hidden="1"/>
    </xf>
    <xf numFmtId="164" fontId="65" fillId="5" borderId="56" xfId="2" applyNumberFormat="1" applyFont="1" applyFill="1" applyBorder="1" applyAlignment="1" applyProtection="1">
      <alignment horizontal="center"/>
      <protection hidden="1"/>
    </xf>
    <xf numFmtId="9" fontId="65" fillId="5" borderId="50" xfId="1" applyFont="1" applyFill="1" applyBorder="1" applyAlignment="1" applyProtection="1">
      <alignment horizontal="center"/>
      <protection hidden="1"/>
    </xf>
    <xf numFmtId="169" fontId="65" fillId="5" borderId="35" xfId="2" applyNumberFormat="1" applyFont="1" applyFill="1" applyBorder="1" applyAlignment="1" applyProtection="1">
      <alignment horizontal="center"/>
      <protection hidden="1"/>
    </xf>
    <xf numFmtId="169" fontId="65" fillId="5" borderId="59" xfId="2" applyNumberFormat="1" applyFont="1" applyFill="1" applyBorder="1" applyAlignment="1" applyProtection="1">
      <alignment horizontal="center"/>
      <protection hidden="1"/>
    </xf>
    <xf numFmtId="164" fontId="65" fillId="5" borderId="50" xfId="2" applyNumberFormat="1" applyFont="1" applyFill="1" applyBorder="1" applyAlignment="1" applyProtection="1">
      <alignment horizontal="center"/>
      <protection hidden="1"/>
    </xf>
    <xf numFmtId="9" fontId="65" fillId="5" borderId="53" xfId="1" applyFont="1" applyFill="1" applyBorder="1" applyAlignment="1" applyProtection="1">
      <alignment horizontal="center"/>
      <protection hidden="1"/>
    </xf>
    <xf numFmtId="164" fontId="65" fillId="5" borderId="38" xfId="2" applyNumberFormat="1" applyFont="1" applyFill="1" applyBorder="1" applyAlignment="1" applyProtection="1">
      <protection hidden="1"/>
    </xf>
    <xf numFmtId="0" fontId="13" fillId="3" borderId="0" xfId="0" applyFont="1" applyFill="1" applyProtection="1">
      <protection locked="0" hidden="1"/>
    </xf>
    <xf numFmtId="164" fontId="68" fillId="5" borderId="28" xfId="2" applyNumberFormat="1" applyFont="1" applyFill="1" applyBorder="1" applyAlignment="1" applyProtection="1">
      <alignment horizontal="center"/>
      <protection hidden="1"/>
    </xf>
    <xf numFmtId="164" fontId="68" fillId="5" borderId="61" xfId="2" applyNumberFormat="1" applyFont="1" applyFill="1" applyBorder="1" applyAlignment="1" applyProtection="1">
      <alignment horizontal="center"/>
      <protection hidden="1"/>
    </xf>
    <xf numFmtId="164" fontId="68" fillId="5" borderId="67" xfId="2" applyNumberFormat="1" applyFont="1" applyFill="1" applyBorder="1" applyAlignment="1" applyProtection="1">
      <alignment horizontal="center"/>
      <protection hidden="1"/>
    </xf>
    <xf numFmtId="164" fontId="68" fillId="5" borderId="64" xfId="2" applyNumberFormat="1" applyFont="1" applyFill="1" applyBorder="1" applyAlignment="1" applyProtection="1">
      <alignment horizontal="center"/>
      <protection hidden="1"/>
    </xf>
    <xf numFmtId="9" fontId="68" fillId="5" borderId="20" xfId="1" applyFont="1" applyFill="1" applyBorder="1" applyAlignment="1" applyProtection="1">
      <alignment horizontal="center"/>
      <protection hidden="1"/>
    </xf>
    <xf numFmtId="164" fontId="68" fillId="5" borderId="46" xfId="2" applyNumberFormat="1" applyFont="1" applyFill="1" applyBorder="1" applyAlignment="1" applyProtection="1">
      <protection hidden="1"/>
    </xf>
    <xf numFmtId="164" fontId="68" fillId="5" borderId="49" xfId="2" applyNumberFormat="1" applyFont="1" applyFill="1" applyBorder="1" applyAlignment="1" applyProtection="1">
      <alignment horizontal="left"/>
      <protection hidden="1"/>
    </xf>
    <xf numFmtId="164" fontId="68" fillId="5" borderId="43" xfId="2" applyNumberFormat="1" applyFont="1" applyFill="1" applyBorder="1" applyAlignment="1" applyProtection="1">
      <alignment horizontal="center"/>
      <protection hidden="1"/>
    </xf>
    <xf numFmtId="164" fontId="68" fillId="5" borderId="17" xfId="2" applyNumberFormat="1" applyFont="1" applyFill="1" applyBorder="1" applyAlignment="1" applyProtection="1">
      <alignment horizontal="center"/>
      <protection hidden="1"/>
    </xf>
    <xf numFmtId="164" fontId="68" fillId="5" borderId="52" xfId="2" applyNumberFormat="1" applyFont="1" applyFill="1" applyBorder="1" applyAlignment="1" applyProtection="1">
      <alignment horizontal="center"/>
      <protection hidden="1"/>
    </xf>
    <xf numFmtId="171" fontId="69" fillId="6" borderId="0" xfId="4" applyNumberFormat="1" applyFont="1" applyFill="1" applyAlignment="1" applyProtection="1">
      <alignment horizontal="center"/>
      <protection hidden="1"/>
    </xf>
    <xf numFmtId="172" fontId="69" fillId="6" borderId="0" xfId="4" applyNumberFormat="1" applyFont="1" applyFill="1" applyAlignment="1" applyProtection="1">
      <alignment horizontal="center"/>
      <protection hidden="1"/>
    </xf>
    <xf numFmtId="164" fontId="68" fillId="5" borderId="16" xfId="2" applyNumberFormat="1" applyFont="1" applyFill="1" applyBorder="1" applyAlignment="1" applyProtection="1">
      <protection hidden="1"/>
    </xf>
    <xf numFmtId="164" fontId="68" fillId="5" borderId="55" xfId="2" applyNumberFormat="1" applyFont="1" applyFill="1" applyBorder="1" applyAlignment="1" applyProtection="1">
      <alignment horizontal="center"/>
      <protection hidden="1"/>
    </xf>
    <xf numFmtId="9" fontId="68" fillId="5" borderId="49" xfId="1" applyFont="1" applyFill="1" applyBorder="1" applyAlignment="1" applyProtection="1">
      <alignment horizontal="center"/>
      <protection hidden="1"/>
    </xf>
    <xf numFmtId="169" fontId="68" fillId="5" borderId="19" xfId="2" applyNumberFormat="1" applyFont="1" applyFill="1" applyBorder="1" applyAlignment="1" applyProtection="1">
      <alignment horizontal="center"/>
      <protection hidden="1"/>
    </xf>
    <xf numFmtId="169" fontId="68" fillId="5" borderId="58" xfId="2" applyNumberFormat="1" applyFont="1" applyFill="1" applyBorder="1" applyAlignment="1" applyProtection="1">
      <alignment horizontal="center"/>
      <protection hidden="1"/>
    </xf>
    <xf numFmtId="164" fontId="68" fillId="5" borderId="49" xfId="2" applyNumberFormat="1" applyFont="1" applyFill="1" applyBorder="1" applyAlignment="1" applyProtection="1">
      <alignment horizontal="center"/>
      <protection hidden="1"/>
    </xf>
    <xf numFmtId="9" fontId="68" fillId="5" borderId="52" xfId="1" applyFont="1" applyFill="1" applyBorder="1" applyAlignment="1" applyProtection="1">
      <alignment horizontal="center"/>
      <protection hidden="1"/>
    </xf>
    <xf numFmtId="164" fontId="68" fillId="5" borderId="21" xfId="2" applyNumberFormat="1" applyFont="1" applyFill="1" applyBorder="1" applyAlignment="1" applyProtection="1">
      <protection hidden="1"/>
    </xf>
    <xf numFmtId="9" fontId="68" fillId="5" borderId="71" xfId="1" applyFont="1" applyFill="1" applyBorder="1" applyAlignment="1" applyProtection="1">
      <alignment horizontal="center"/>
      <protection hidden="1"/>
    </xf>
    <xf numFmtId="164" fontId="68" fillId="5" borderId="18" xfId="2" applyNumberFormat="1" applyFont="1" applyFill="1" applyBorder="1" applyAlignment="1" applyProtection="1">
      <protection hidden="1"/>
    </xf>
    <xf numFmtId="9" fontId="68" fillId="5" borderId="23" xfId="1" applyFont="1" applyFill="1" applyBorder="1" applyAlignment="1" applyProtection="1">
      <alignment horizontal="center"/>
      <protection hidden="1"/>
    </xf>
    <xf numFmtId="9" fontId="68" fillId="5" borderId="25" xfId="1" applyFont="1" applyFill="1" applyBorder="1" applyAlignment="1" applyProtection="1">
      <alignment horizontal="center"/>
      <protection hidden="1"/>
    </xf>
    <xf numFmtId="168" fontId="68" fillId="5" borderId="26" xfId="1" applyNumberFormat="1" applyFont="1" applyFill="1" applyBorder="1" applyAlignment="1" applyProtection="1">
      <alignment horizontal="center"/>
      <protection hidden="1"/>
    </xf>
    <xf numFmtId="9" fontId="68" fillId="5" borderId="70" xfId="1" applyFont="1" applyFill="1" applyBorder="1" applyAlignment="1" applyProtection="1">
      <alignment horizontal="center"/>
      <protection hidden="1"/>
    </xf>
    <xf numFmtId="170" fontId="68" fillId="5" borderId="26" xfId="2" applyNumberFormat="1" applyFont="1" applyFill="1" applyBorder="1" applyAlignment="1" applyProtection="1">
      <alignment horizontal="center"/>
      <protection hidden="1"/>
    </xf>
    <xf numFmtId="170" fontId="68" fillId="5" borderId="74" xfId="1" applyNumberFormat="1" applyFont="1" applyFill="1" applyBorder="1" applyAlignment="1" applyProtection="1">
      <alignment horizontal="center"/>
      <protection hidden="1"/>
    </xf>
    <xf numFmtId="9" fontId="68" fillId="5" borderId="26" xfId="1" applyFont="1" applyFill="1" applyBorder="1" applyAlignment="1" applyProtection="1">
      <alignment horizontal="center"/>
      <protection hidden="1"/>
    </xf>
    <xf numFmtId="9" fontId="68" fillId="5" borderId="74" xfId="1" applyFont="1" applyFill="1" applyBorder="1" applyAlignment="1" applyProtection="1">
      <alignment horizontal="center"/>
      <protection hidden="1"/>
    </xf>
    <xf numFmtId="168" fontId="68" fillId="5" borderId="72" xfId="1" applyNumberFormat="1" applyFont="1" applyFill="1" applyBorder="1" applyAlignment="1" applyProtection="1">
      <alignment horizontal="center"/>
      <protection hidden="1"/>
    </xf>
    <xf numFmtId="9" fontId="68" fillId="4" borderId="31" xfId="1" applyFont="1" applyFill="1" applyBorder="1" applyAlignment="1" applyProtection="1">
      <alignment horizontal="center"/>
      <protection hidden="1"/>
    </xf>
    <xf numFmtId="164" fontId="62" fillId="5" borderId="27" xfId="2" applyNumberFormat="1" applyFont="1" applyFill="1" applyBorder="1" applyAlignment="1" applyProtection="1">
      <alignment horizontal="center"/>
      <protection hidden="1"/>
    </xf>
    <xf numFmtId="0" fontId="66" fillId="9" borderId="75" xfId="4" applyFont="1" applyFill="1" applyBorder="1" applyAlignment="1" applyProtection="1">
      <alignment horizontal="left"/>
      <protection hidden="1"/>
    </xf>
    <xf numFmtId="164" fontId="58" fillId="3" borderId="2" xfId="4" applyNumberFormat="1" applyFont="1" applyFill="1" applyBorder="1" applyAlignment="1" applyProtection="1">
      <alignment horizontal="center"/>
      <protection hidden="1"/>
    </xf>
    <xf numFmtId="164" fontId="58" fillId="3" borderId="0" xfId="4" applyNumberFormat="1" applyFont="1" applyFill="1" applyAlignment="1" applyProtection="1">
      <alignment horizontal="center"/>
      <protection hidden="1"/>
    </xf>
    <xf numFmtId="0" fontId="40" fillId="7" borderId="0" xfId="0" applyFont="1" applyFill="1" applyAlignment="1" applyProtection="1">
      <alignment horizontal="left" vertical="center"/>
      <protection hidden="1"/>
    </xf>
    <xf numFmtId="164" fontId="59" fillId="3" borderId="2" xfId="4" applyNumberFormat="1" applyFont="1" applyFill="1" applyBorder="1" applyAlignment="1" applyProtection="1">
      <alignment horizontal="center"/>
      <protection hidden="1"/>
    </xf>
    <xf numFmtId="0" fontId="41" fillId="3" borderId="29" xfId="0" applyFont="1" applyFill="1" applyBorder="1" applyAlignment="1" applyProtection="1">
      <alignment horizontal="center"/>
      <protection hidden="1"/>
    </xf>
    <xf numFmtId="0" fontId="41" fillId="3" borderId="6" xfId="0" applyFont="1" applyFill="1" applyBorder="1" applyAlignment="1" applyProtection="1">
      <alignment horizontal="center"/>
      <protection hidden="1"/>
    </xf>
    <xf numFmtId="0" fontId="41" fillId="3" borderId="30" xfId="0" applyFont="1" applyFill="1" applyBorder="1" applyAlignment="1" applyProtection="1">
      <alignment horizontal="center"/>
      <protection hidden="1"/>
    </xf>
    <xf numFmtId="0" fontId="40" fillId="3" borderId="29" xfId="0" applyFont="1" applyFill="1" applyBorder="1" applyAlignment="1" applyProtection="1">
      <alignment horizontal="center"/>
      <protection hidden="1"/>
    </xf>
    <xf numFmtId="0" fontId="40" fillId="3" borderId="6" xfId="0" applyFont="1" applyFill="1" applyBorder="1" applyAlignment="1" applyProtection="1">
      <alignment horizontal="center"/>
      <protection hidden="1"/>
    </xf>
    <xf numFmtId="0" fontId="40" fillId="3" borderId="30" xfId="0" applyFont="1" applyFill="1" applyBorder="1" applyAlignment="1" applyProtection="1">
      <alignment horizontal="center"/>
      <protection hidden="1"/>
    </xf>
    <xf numFmtId="164" fontId="22" fillId="3" borderId="0" xfId="0" applyNumberFormat="1" applyFont="1" applyFill="1" applyProtection="1">
      <protection hidden="1"/>
    </xf>
    <xf numFmtId="164" fontId="13" fillId="4" borderId="2" xfId="0" applyNumberFormat="1" applyFont="1" applyFill="1" applyBorder="1" applyProtection="1">
      <protection hidden="1"/>
    </xf>
    <xf numFmtId="164" fontId="13" fillId="4" borderId="2" xfId="0" applyNumberFormat="1" applyFont="1" applyFill="1" applyBorder="1" applyAlignment="1" applyProtection="1">
      <alignment horizontal="right"/>
      <protection hidden="1"/>
    </xf>
    <xf numFmtId="164" fontId="22" fillId="3" borderId="0" xfId="4" applyNumberFormat="1" applyFont="1" applyFill="1" applyProtection="1">
      <protection hidden="1"/>
    </xf>
    <xf numFmtId="164" fontId="22" fillId="3" borderId="0" xfId="4" applyNumberFormat="1" applyFont="1" applyFill="1" applyAlignment="1" applyProtection="1">
      <alignment horizontal="right"/>
      <protection hidden="1"/>
    </xf>
    <xf numFmtId="164" fontId="13" fillId="4" borderId="2" xfId="1" applyNumberFormat="1" applyFont="1" applyFill="1" applyBorder="1" applyAlignment="1" applyProtection="1">
      <protection hidden="1"/>
    </xf>
    <xf numFmtId="164" fontId="22" fillId="3" borderId="0" xfId="0" applyNumberFormat="1" applyFont="1" applyFill="1" applyAlignment="1" applyProtection="1">
      <alignment horizontal="right"/>
      <protection hidden="1"/>
    </xf>
    <xf numFmtId="164" fontId="13" fillId="4" borderId="0" xfId="0" applyNumberFormat="1" applyFont="1" applyFill="1" applyProtection="1">
      <protection hidden="1"/>
    </xf>
    <xf numFmtId="170" fontId="13" fillId="4" borderId="0" xfId="0" applyNumberFormat="1" applyFont="1" applyFill="1" applyAlignment="1" applyProtection="1">
      <alignment horizontal="right"/>
      <protection hidden="1"/>
    </xf>
    <xf numFmtId="164" fontId="13" fillId="3" borderId="8" xfId="0" applyNumberFormat="1" applyFont="1" applyFill="1" applyBorder="1" applyProtection="1">
      <protection hidden="1"/>
    </xf>
    <xf numFmtId="164" fontId="13" fillId="3" borderId="5" xfId="4" applyNumberFormat="1" applyFont="1" applyFill="1" applyBorder="1" applyProtection="1">
      <protection hidden="1"/>
    </xf>
    <xf numFmtId="164" fontId="23" fillId="4" borderId="0" xfId="0" applyNumberFormat="1" applyFont="1" applyFill="1" applyProtection="1">
      <protection hidden="1"/>
    </xf>
    <xf numFmtId="164" fontId="13" fillId="4" borderId="5" xfId="4" applyNumberFormat="1" applyFont="1" applyFill="1" applyBorder="1" applyProtection="1">
      <protection hidden="1"/>
    </xf>
    <xf numFmtId="164" fontId="13" fillId="3" borderId="0" xfId="4" applyNumberFormat="1" applyFont="1" applyFill="1" applyProtection="1">
      <protection hidden="1"/>
    </xf>
    <xf numFmtId="167" fontId="10" fillId="3" borderId="0" xfId="4" applyNumberFormat="1" applyFont="1" applyFill="1" applyAlignment="1" applyProtection="1">
      <alignment horizontal="center"/>
      <protection hidden="1"/>
    </xf>
    <xf numFmtId="9" fontId="11" fillId="3" borderId="0" xfId="1" applyFont="1" applyFill="1" applyBorder="1" applyAlignment="1" applyProtection="1">
      <alignment horizontal="center" vertical="center"/>
      <protection hidden="1"/>
    </xf>
    <xf numFmtId="165" fontId="10" fillId="3" borderId="0" xfId="4" applyNumberFormat="1" applyFont="1" applyFill="1" applyAlignment="1" applyProtection="1">
      <alignment horizontal="center" vertical="center"/>
      <protection hidden="1"/>
    </xf>
    <xf numFmtId="164" fontId="13" fillId="4" borderId="0" xfId="0" applyNumberFormat="1" applyFont="1" applyFill="1" applyAlignment="1" applyProtection="1">
      <alignment horizontal="left" vertical="center" indent="1"/>
      <protection hidden="1"/>
    </xf>
  </cellXfs>
  <cellStyles count="8">
    <cellStyle name="Comma 2" xfId="6" xr:uid="{8B929480-1FBB-42E7-8C67-D730BF2510C8}"/>
    <cellStyle name="Hyperlink" xfId="3" builtinId="8"/>
    <cellStyle name="Normal" xfId="0" builtinId="0"/>
    <cellStyle name="Normal 2 2" xfId="4" xr:uid="{D83F67F7-2770-4AE8-9B8D-1DE81CFB4E58}"/>
    <cellStyle name="Normal 2 2 3" xfId="7" xr:uid="{E116EA7E-1A53-4148-AA57-429A35DB3B40}"/>
    <cellStyle name="Normal 3 2" xfId="5" xr:uid="{ACE6CA6C-A9EC-46F9-B57B-05009BBD1125}"/>
    <cellStyle name="Note" xfId="2" builtinId="10"/>
    <cellStyle name="Percent" xfId="1" builtinId="5"/>
  </cellStyles>
  <dxfs count="8">
    <dxf>
      <font>
        <b/>
        <i val="0"/>
        <color rgb="FFC00000"/>
      </font>
      <border>
        <vertical/>
        <horizontal/>
      </border>
    </dxf>
    <dxf>
      <font>
        <b/>
        <i val="0"/>
        <color rgb="FFC00000"/>
      </font>
      <border>
        <vertical/>
        <horizontal/>
      </border>
    </dxf>
    <dxf>
      <font>
        <b/>
        <i val="0"/>
        <color rgb="FFC00000"/>
      </font>
      <border>
        <vertical/>
        <horizontal/>
      </border>
    </dxf>
    <dxf>
      <font>
        <b/>
        <i val="0"/>
        <color rgb="FFC00000"/>
      </font>
      <border>
        <vertical/>
        <horizontal/>
      </border>
    </dxf>
    <dxf>
      <font>
        <color rgb="FFFF0000"/>
      </font>
      <fill>
        <patternFill>
          <bgColor rgb="FFFCE4D6"/>
        </patternFill>
      </fill>
    </dxf>
    <dxf>
      <font>
        <color rgb="FFFF0000"/>
      </font>
      <fill>
        <patternFill>
          <bgColor rgb="FFFCE4D6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EB"/>
      <color rgb="FF9A0000"/>
      <color rgb="FFFDEFE7"/>
      <color rgb="FFF8F8F8"/>
      <color rgb="FFF0F1F4"/>
      <color rgb="FFD9D9D9"/>
      <color rgb="FF008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models.com/checkout/?add-to-cart=7453&amp;coupon=SAVE20" TargetMode="External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hyperlink" Target="https://excelmodels.com/checkout/?add-to-cart=7453&amp;coupon=SAVE20" TargetMode="External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53&amp;coupon=SAVE20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53&amp;coupon=SAVE20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53&amp;coupon=SAVE20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53&amp;coupon=SAVE20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53&amp;coupon=SAVE20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53&amp;coupon=SAVE20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</xdr:colOff>
      <xdr:row>12</xdr:row>
      <xdr:rowOff>15240</xdr:rowOff>
    </xdr:from>
    <xdr:to>
      <xdr:col>5</xdr:col>
      <xdr:colOff>852999</xdr:colOff>
      <xdr:row>18</xdr:row>
      <xdr:rowOff>71690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3770CD5-7C4F-465D-06CC-5BE98FF6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960" y="3162300"/>
          <a:ext cx="3580959" cy="1108010"/>
        </a:xfrm>
        <a:prstGeom prst="rect">
          <a:avLst/>
        </a:prstGeom>
      </xdr:spPr>
    </xdr:pic>
    <xdr:clientData/>
  </xdr:twoCellAnchor>
  <xdr:twoCellAnchor editAs="oneCell">
    <xdr:from>
      <xdr:col>2</xdr:col>
      <xdr:colOff>22859</xdr:colOff>
      <xdr:row>2</xdr:row>
      <xdr:rowOff>60960</xdr:rowOff>
    </xdr:from>
    <xdr:to>
      <xdr:col>8</xdr:col>
      <xdr:colOff>800730</xdr:colOff>
      <xdr:row>2</xdr:row>
      <xdr:rowOff>960119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4FDF6B-235B-406D-A815-5F077FBE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59" y="381000"/>
          <a:ext cx="6302371" cy="899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</xdr:colOff>
      <xdr:row>1</xdr:row>
      <xdr:rowOff>60960</xdr:rowOff>
    </xdr:from>
    <xdr:to>
      <xdr:col>3</xdr:col>
      <xdr:colOff>640080</xdr:colOff>
      <xdr:row>1</xdr:row>
      <xdr:rowOff>267951</xdr:rowOff>
    </xdr:to>
    <xdr:pic>
      <xdr:nvPicPr>
        <xdr:cNvPr id="3" name="Pictur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2EFD157-982C-4FF6-BF8E-F636E9C6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190500"/>
          <a:ext cx="1600200" cy="206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76201</xdr:colOff>
      <xdr:row>2</xdr:row>
      <xdr:rowOff>259080</xdr:rowOff>
    </xdr:from>
    <xdr:to>
      <xdr:col>29</xdr:col>
      <xdr:colOff>53341</xdr:colOff>
      <xdr:row>2</xdr:row>
      <xdr:rowOff>386864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181C57-EFB3-4369-8370-04E35F958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1881" y="434340"/>
          <a:ext cx="2689860" cy="12778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</xdr:row>
      <xdr:rowOff>53340</xdr:rowOff>
    </xdr:from>
    <xdr:to>
      <xdr:col>6</xdr:col>
      <xdr:colOff>160020</xdr:colOff>
      <xdr:row>2</xdr:row>
      <xdr:rowOff>251460</xdr:rowOff>
    </xdr:to>
    <xdr:pic>
      <xdr:nvPicPr>
        <xdr:cNvPr id="5" name="Pictur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D6C058-1200-4908-8DC9-7EF30B71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098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30480</xdr:colOff>
      <xdr:row>1</xdr:row>
      <xdr:rowOff>198120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4EEAB2-2972-45DB-9D79-103CBF6D0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95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30480</xdr:colOff>
      <xdr:row>1</xdr:row>
      <xdr:rowOff>198120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E9AE32-2496-467A-944B-8091D9DD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95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30480</xdr:colOff>
      <xdr:row>1</xdr:row>
      <xdr:rowOff>198120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B1F061-E28B-4C58-989A-2B4E2D2A4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95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30480</xdr:colOff>
      <xdr:row>1</xdr:row>
      <xdr:rowOff>198120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9ABE65-C116-4C2C-8DAB-E8654360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95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838200</xdr:colOff>
      <xdr:row>17</xdr:row>
      <xdr:rowOff>114300</xdr:rowOff>
    </xdr:from>
    <xdr:to>
      <xdr:col>4</xdr:col>
      <xdr:colOff>53340</xdr:colOff>
      <xdr:row>21</xdr:row>
      <xdr:rowOff>83820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F38DC7DD-5251-46A6-8796-1B6F21C997C9}"/>
            </a:ext>
          </a:extLst>
        </xdr:cNvPr>
        <xdr:cNvCxnSpPr/>
      </xdr:nvCxnSpPr>
      <xdr:spPr>
        <a:xfrm>
          <a:off x="1158240" y="2979420"/>
          <a:ext cx="662940" cy="571500"/>
        </a:xfrm>
        <a:prstGeom prst="straightConnector1">
          <a:avLst/>
        </a:prstGeom>
        <a:ln w="6350">
          <a:solidFill>
            <a:schemeClr val="tx1">
              <a:lumMod val="65000"/>
              <a:lumOff val="35000"/>
            </a:schemeClr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30480</xdr:colOff>
      <xdr:row>1</xdr:row>
      <xdr:rowOff>198120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CF62E4-7C55-413F-BB24-8610AA5F3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95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30480</xdr:colOff>
      <xdr:row>1</xdr:row>
      <xdr:rowOff>198120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19F834-A7F3-4F8D-BC1C-C536F25A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95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79DAF-1A01-4110-BD69-6E2BA7C4095D}">
  <sheetPr codeName="Sheet1">
    <tabColor rgb="FF0080EA"/>
    <outlinePr showOutlineSymbols="0"/>
    <pageSetUpPr fitToPage="1"/>
  </sheetPr>
  <dimension ref="A1:I20"/>
  <sheetViews>
    <sheetView showGridLines="0" showRowColHeaders="0" showZeros="0" tabSelected="1" showOutlineSymbols="0" zoomScaleNormal="100" workbookViewId="0"/>
  </sheetViews>
  <sheetFormatPr defaultColWidth="9.109375" defaultRowHeight="10.199999999999999" x14ac:dyDescent="0.2"/>
  <cols>
    <col min="1" max="1" width="3" style="5" customWidth="1"/>
    <col min="2" max="2" width="8.6640625" style="5" customWidth="1"/>
    <col min="3" max="3" width="14.21875" style="2" customWidth="1"/>
    <col min="4" max="4" width="13.6640625" style="2" customWidth="1"/>
    <col min="5" max="5" width="12.21875" style="2" bestFit="1" customWidth="1"/>
    <col min="6" max="6" width="13.109375" style="2" bestFit="1" customWidth="1"/>
    <col min="7" max="8" width="13.6640625" style="2" customWidth="1"/>
    <col min="9" max="9" width="14.21875" style="2" customWidth="1"/>
    <col min="10" max="16384" width="9.109375" style="2"/>
  </cols>
  <sheetData>
    <row r="1" spans="1:9" x14ac:dyDescent="0.2">
      <c r="A1" s="1" t="s">
        <v>0</v>
      </c>
      <c r="B1" s="1"/>
    </row>
    <row r="2" spans="1:9" s="146" customFormat="1" ht="30.6" customHeight="1" x14ac:dyDescent="0.3">
      <c r="A2" s="37"/>
      <c r="B2" s="37"/>
    </row>
    <row r="3" spans="1:9" s="146" customFormat="1" ht="76.8" customHeight="1" x14ac:dyDescent="0.3">
      <c r="A3" s="13"/>
      <c r="B3" s="13"/>
    </row>
    <row r="4" spans="1:9" s="148" customFormat="1" ht="24" customHeight="1" x14ac:dyDescent="0.3">
      <c r="A4" s="42"/>
      <c r="B4" s="42"/>
    </row>
    <row r="5" spans="1:9" s="151" customFormat="1" ht="15" x14ac:dyDescent="0.35">
      <c r="A5" s="13"/>
      <c r="B5" s="13"/>
      <c r="C5" s="149" t="s">
        <v>20</v>
      </c>
      <c r="D5" s="149" t="s">
        <v>127</v>
      </c>
      <c r="E5" s="149" t="s">
        <v>128</v>
      </c>
      <c r="F5" s="149" t="s">
        <v>17</v>
      </c>
      <c r="G5" s="149" t="s">
        <v>75</v>
      </c>
      <c r="H5" s="149" t="s">
        <v>37</v>
      </c>
      <c r="I5" s="150" t="s">
        <v>43</v>
      </c>
    </row>
    <row r="6" spans="1:9" s="148" customFormat="1" ht="13.8" x14ac:dyDescent="0.3">
      <c r="A6" s="42"/>
      <c r="B6" s="42"/>
      <c r="C6" s="153" t="s">
        <v>100</v>
      </c>
      <c r="D6" s="153" t="s">
        <v>11</v>
      </c>
      <c r="E6" s="153" t="s">
        <v>19</v>
      </c>
      <c r="F6" s="153" t="s">
        <v>129</v>
      </c>
      <c r="G6" s="153" t="s">
        <v>130</v>
      </c>
      <c r="H6" s="153" t="s">
        <v>131</v>
      </c>
      <c r="I6" s="153" t="s">
        <v>132</v>
      </c>
    </row>
    <row r="7" spans="1:9" s="148" customFormat="1" ht="13.8" x14ac:dyDescent="0.3">
      <c r="A7" s="42"/>
      <c r="B7" s="42"/>
      <c r="C7" s="153" t="s">
        <v>133</v>
      </c>
      <c r="D7" s="153" t="s">
        <v>68</v>
      </c>
      <c r="E7" s="153" t="s">
        <v>134</v>
      </c>
      <c r="F7" s="153" t="s">
        <v>135</v>
      </c>
      <c r="G7" s="153" t="s">
        <v>136</v>
      </c>
      <c r="H7" s="153" t="s">
        <v>137</v>
      </c>
      <c r="I7" s="153" t="s">
        <v>138</v>
      </c>
    </row>
    <row r="8" spans="1:9" s="148" customFormat="1" ht="13.8" x14ac:dyDescent="0.3">
      <c r="A8" s="42"/>
      <c r="B8" s="42"/>
      <c r="C8" s="153" t="s">
        <v>139</v>
      </c>
      <c r="D8" s="153" t="s">
        <v>140</v>
      </c>
      <c r="E8" s="153" t="s">
        <v>61</v>
      </c>
      <c r="F8" s="153" t="s">
        <v>32</v>
      </c>
      <c r="G8" s="153" t="s">
        <v>141</v>
      </c>
      <c r="H8" s="153" t="s">
        <v>39</v>
      </c>
      <c r="I8" s="153" t="s">
        <v>10</v>
      </c>
    </row>
    <row r="9" spans="1:9" s="148" customFormat="1" ht="13.8" x14ac:dyDescent="0.3">
      <c r="A9" s="42"/>
      <c r="B9" s="42"/>
      <c r="C9" s="153" t="s">
        <v>142</v>
      </c>
      <c r="D9" s="153" t="s">
        <v>17</v>
      </c>
      <c r="E9" s="153" t="s">
        <v>24</v>
      </c>
      <c r="F9" s="153" t="s">
        <v>143</v>
      </c>
      <c r="G9" s="153" t="s">
        <v>144</v>
      </c>
      <c r="H9" s="153" t="s">
        <v>145</v>
      </c>
      <c r="I9" s="153" t="s">
        <v>146</v>
      </c>
    </row>
    <row r="10" spans="1:9" s="148" customFormat="1" ht="13.8" x14ac:dyDescent="0.3">
      <c r="A10" s="42"/>
      <c r="B10" s="42"/>
      <c r="C10" s="153" t="s">
        <v>147</v>
      </c>
      <c r="D10" s="153" t="s">
        <v>111</v>
      </c>
      <c r="E10" s="153" t="s">
        <v>148</v>
      </c>
      <c r="F10" s="153" t="s">
        <v>149</v>
      </c>
      <c r="G10" s="153" t="s">
        <v>73</v>
      </c>
      <c r="H10" s="153" t="s">
        <v>41</v>
      </c>
      <c r="I10" s="153" t="s">
        <v>150</v>
      </c>
    </row>
    <row r="11" spans="1:9" s="148" customFormat="1" ht="13.8" x14ac:dyDescent="0.3">
      <c r="A11" s="42"/>
      <c r="B11" s="42"/>
      <c r="C11" s="153" t="s">
        <v>151</v>
      </c>
      <c r="D11" s="153" t="s">
        <v>152</v>
      </c>
      <c r="E11" s="153" t="s">
        <v>153</v>
      </c>
      <c r="F11" s="153" t="s">
        <v>32</v>
      </c>
      <c r="G11" s="153" t="s">
        <v>154</v>
      </c>
      <c r="H11" s="153" t="s">
        <v>64</v>
      </c>
      <c r="I11" s="153" t="s">
        <v>155</v>
      </c>
    </row>
    <row r="12" spans="1:9" s="148" customFormat="1" ht="24" customHeight="1" x14ac:dyDescent="0.3">
      <c r="A12" s="152"/>
      <c r="B12" s="152"/>
    </row>
    <row r="13" spans="1:9" s="148" customFormat="1" ht="13.8" x14ac:dyDescent="0.3">
      <c r="A13" s="152"/>
      <c r="B13" s="152"/>
    </row>
    <row r="14" spans="1:9" s="148" customFormat="1" ht="13.8" x14ac:dyDescent="0.3">
      <c r="A14" s="152"/>
      <c r="B14" s="152"/>
    </row>
    <row r="15" spans="1:9" s="148" customFormat="1" ht="13.8" x14ac:dyDescent="0.3">
      <c r="A15" s="152"/>
      <c r="B15" s="152"/>
    </row>
    <row r="16" spans="1:9" s="148" customFormat="1" ht="13.8" x14ac:dyDescent="0.3">
      <c r="A16" s="152"/>
      <c r="B16" s="152"/>
    </row>
    <row r="17" spans="1:3" s="148" customFormat="1" ht="13.8" x14ac:dyDescent="0.3">
      <c r="A17" s="152"/>
      <c r="B17" s="152"/>
    </row>
    <row r="18" spans="1:3" s="148" customFormat="1" ht="13.8" x14ac:dyDescent="0.3">
      <c r="A18" s="152"/>
      <c r="B18" s="152"/>
    </row>
    <row r="19" spans="1:3" s="148" customFormat="1" ht="13.8" x14ac:dyDescent="0.3">
      <c r="A19" s="152"/>
      <c r="B19" s="152"/>
    </row>
    <row r="20" spans="1:3" s="148" customFormat="1" ht="13.8" x14ac:dyDescent="0.3">
      <c r="A20" s="152"/>
      <c r="B20" s="152"/>
      <c r="C20" s="154" t="s">
        <v>165</v>
      </c>
    </row>
  </sheetData>
  <sheetProtection algorithmName="SHA-512" hashValue="6WpSH0PHJCxYMGn6t2rdl4d0MSuMM3fGqLPCbi5+IvYAw6xvQkIk7gQZlDM+BYl0dcTAEHVQQgFRbf7neJX5qQ==" saltValue="YBp54Oz+p0vY6D+IXzJMvA==" spinCount="100000" sheet="1" objects="1" scenarios="1" selectLockedCells="1" selectUnlockedCells="1"/>
  <printOptions horizontalCentered="1"/>
  <pageMargins left="0.5" right="0.5" top="0.75" bottom="0.5" header="0.3" footer="0.3"/>
  <pageSetup orientation="landscape" r:id="rId1"/>
  <headerFooter scaleWithDoc="0"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B10BB-D85A-4E00-B7EB-689444C1748A}">
  <sheetPr codeName="Sheet2">
    <tabColor rgb="FFFFFFEB"/>
    <outlinePr showOutlineSymbols="0"/>
  </sheetPr>
  <dimension ref="A1:AL35"/>
  <sheetViews>
    <sheetView showGridLines="0" showZeros="0" showOutlineSymbols="0" zoomScaleNormal="100" workbookViewId="0"/>
  </sheetViews>
  <sheetFormatPr defaultColWidth="8.44140625" defaultRowHeight="12.6" x14ac:dyDescent="0.25"/>
  <cols>
    <col min="1" max="1" width="0.5546875" style="19" customWidth="1"/>
    <col min="2" max="2" width="3.6640625" style="134" customWidth="1"/>
    <col min="3" max="3" width="3.5546875" style="19" customWidth="1"/>
    <col min="4" max="4" width="5" style="19" bestFit="1" customWidth="1"/>
    <col min="5" max="6" width="6" style="19" bestFit="1" customWidth="1"/>
    <col min="7" max="7" width="3.77734375" style="19" bestFit="1" customWidth="1"/>
    <col min="8" max="8" width="12.77734375" style="19" customWidth="1"/>
    <col min="9" max="9" width="5.33203125" style="20" bestFit="1" customWidth="1"/>
    <col min="10" max="10" width="3.109375" style="23" bestFit="1" customWidth="1"/>
    <col min="11" max="11" width="3.44140625" style="142" bestFit="1" customWidth="1"/>
    <col min="12" max="12" width="4.77734375" style="142" bestFit="1" customWidth="1"/>
    <col min="13" max="13" width="5.6640625" style="19" hidden="1" customWidth="1"/>
    <col min="14" max="14" width="2.88671875" style="19" hidden="1" customWidth="1"/>
    <col min="15" max="15" width="12.77734375" style="142" customWidth="1"/>
    <col min="16" max="16" width="4.33203125" style="142" bestFit="1" customWidth="1"/>
    <col min="17" max="17" width="2.88671875" style="142" bestFit="1" customWidth="1"/>
    <col min="18" max="18" width="4.6640625" style="142" bestFit="1" customWidth="1"/>
    <col min="19" max="19" width="5.33203125" style="142" bestFit="1" customWidth="1"/>
    <col min="20" max="20" width="12.77734375" style="19" customWidth="1"/>
    <col min="21" max="21" width="3.44140625" style="142" bestFit="1" customWidth="1"/>
    <col min="22" max="22" width="2.88671875" style="142" bestFit="1" customWidth="1"/>
    <col min="23" max="23" width="12.77734375" style="19" customWidth="1"/>
    <col min="24" max="24" width="3.109375" style="142" bestFit="1" customWidth="1"/>
    <col min="25" max="25" width="3.88671875" style="142" bestFit="1" customWidth="1"/>
    <col min="26" max="26" width="2.88671875" style="142" bestFit="1" customWidth="1"/>
    <col min="27" max="27" width="6.88671875" style="19" customWidth="1"/>
    <col min="28" max="28" width="4.6640625" style="19" bestFit="1" customWidth="1"/>
    <col min="29" max="29" width="5.33203125" style="19" bestFit="1" customWidth="1"/>
    <col min="30" max="30" width="4" style="41" customWidth="1"/>
    <col min="31" max="31" width="1.33203125" style="206" customWidth="1"/>
    <col min="32" max="32" width="8.109375" style="19" customWidth="1"/>
    <col min="33" max="36" width="8.5546875" style="206" customWidth="1"/>
    <col min="37" max="37" width="10" style="206" customWidth="1"/>
    <col min="38" max="38" width="2.21875" style="206" customWidth="1"/>
    <col min="39" max="39" width="8.5546875" style="19" customWidth="1"/>
    <col min="40" max="16384" width="8.44140625" style="19"/>
  </cols>
  <sheetData>
    <row r="1" spans="1:38" ht="3" customHeight="1" x14ac:dyDescent="0.25">
      <c r="A1" s="329"/>
      <c r="D1" s="198"/>
      <c r="E1" s="198"/>
    </row>
    <row r="2" spans="1:38" s="2" customFormat="1" ht="10.8" customHeight="1" x14ac:dyDescent="0.25">
      <c r="B2" s="363" t="s">
        <v>233</v>
      </c>
      <c r="E2" s="13"/>
      <c r="J2" s="171"/>
      <c r="K2" s="3"/>
      <c r="L2" s="3"/>
      <c r="O2" s="3"/>
      <c r="P2" s="3"/>
      <c r="Q2" s="3"/>
      <c r="R2" s="3"/>
      <c r="S2" s="3"/>
      <c r="U2" s="3"/>
      <c r="V2" s="3"/>
      <c r="X2" s="3"/>
      <c r="Y2" s="3"/>
      <c r="Z2" s="3"/>
      <c r="AD2" s="156"/>
      <c r="AE2" s="3"/>
      <c r="AG2" s="3"/>
      <c r="AH2" s="3"/>
      <c r="AI2" s="3"/>
      <c r="AJ2" s="3"/>
      <c r="AK2" s="3"/>
      <c r="AL2" s="3"/>
    </row>
    <row r="3" spans="1:38" s="13" customFormat="1" ht="42" customHeight="1" x14ac:dyDescent="0.4">
      <c r="A3" s="7"/>
      <c r="B3" s="7"/>
      <c r="C3" s="7" t="s">
        <v>13</v>
      </c>
      <c r="D3" s="5"/>
      <c r="E3" s="7"/>
      <c r="F3" s="7"/>
      <c r="H3" s="172"/>
      <c r="I3" s="172"/>
      <c r="J3" s="172"/>
      <c r="K3" s="160"/>
      <c r="L3" s="160"/>
      <c r="M3" s="142"/>
      <c r="N3" s="142"/>
      <c r="O3" s="199"/>
      <c r="P3" s="160"/>
      <c r="Q3" s="160"/>
      <c r="R3" s="160"/>
      <c r="S3" s="160"/>
      <c r="T3" s="199"/>
      <c r="U3" s="160"/>
      <c r="V3" s="160"/>
      <c r="W3" s="199"/>
      <c r="X3" s="160"/>
      <c r="Y3" s="160"/>
      <c r="Z3" s="200"/>
      <c r="AA3" s="5"/>
      <c r="AB3" s="147"/>
      <c r="AC3" s="147"/>
      <c r="AD3" s="79"/>
      <c r="AE3" s="36"/>
      <c r="AF3" s="5"/>
      <c r="AG3" s="36"/>
      <c r="AH3" s="36"/>
      <c r="AI3" s="36"/>
      <c r="AJ3" s="36"/>
      <c r="AK3" s="36"/>
      <c r="AL3" s="36"/>
    </row>
    <row r="4" spans="1:38" s="197" customFormat="1" ht="19.2" customHeight="1" x14ac:dyDescent="0.35">
      <c r="B4" s="134"/>
      <c r="C4" s="364" t="s">
        <v>108</v>
      </c>
      <c r="D4" s="364"/>
      <c r="E4" s="364"/>
      <c r="F4" s="364"/>
      <c r="G4" s="364"/>
      <c r="H4" s="364" t="s">
        <v>9</v>
      </c>
      <c r="I4" s="364"/>
      <c r="J4" s="364"/>
      <c r="K4" s="364"/>
      <c r="L4" s="364"/>
      <c r="M4" s="196"/>
      <c r="N4" s="196"/>
      <c r="O4" s="364" t="s">
        <v>87</v>
      </c>
      <c r="P4" s="364"/>
      <c r="Q4" s="364"/>
      <c r="R4" s="364"/>
      <c r="S4" s="364"/>
      <c r="T4" s="365" t="s">
        <v>30</v>
      </c>
      <c r="U4" s="365"/>
      <c r="V4" s="365"/>
      <c r="W4" s="365" t="s">
        <v>26</v>
      </c>
      <c r="X4" s="365"/>
      <c r="Y4" s="365"/>
      <c r="Z4" s="365"/>
      <c r="AA4" s="364" t="s">
        <v>167</v>
      </c>
      <c r="AB4" s="364"/>
      <c r="AC4" s="364"/>
      <c r="AD4" s="20"/>
      <c r="AE4" s="210"/>
      <c r="AF4" s="367" t="s">
        <v>110</v>
      </c>
      <c r="AG4" s="367"/>
      <c r="AH4" s="367"/>
      <c r="AI4" s="367"/>
      <c r="AJ4" s="367"/>
      <c r="AK4" s="367"/>
      <c r="AL4" s="210"/>
    </row>
    <row r="5" spans="1:38" s="144" customFormat="1" ht="12.6" customHeight="1" x14ac:dyDescent="0.3">
      <c r="B5" s="143"/>
      <c r="C5" s="195" t="s">
        <v>172</v>
      </c>
      <c r="D5" s="164" t="s">
        <v>32</v>
      </c>
      <c r="E5" s="178" t="s">
        <v>208</v>
      </c>
      <c r="F5" s="164" t="s">
        <v>209</v>
      </c>
      <c r="G5" s="159" t="s">
        <v>230</v>
      </c>
      <c r="H5" s="163" t="s">
        <v>171</v>
      </c>
      <c r="I5" s="165" t="s">
        <v>116</v>
      </c>
      <c r="J5" s="173" t="s">
        <v>115</v>
      </c>
      <c r="K5" s="158" t="s">
        <v>117</v>
      </c>
      <c r="L5" s="159" t="s">
        <v>178</v>
      </c>
      <c r="M5" s="145" t="s">
        <v>118</v>
      </c>
      <c r="N5" s="145" t="s">
        <v>119</v>
      </c>
      <c r="O5" s="162" t="s">
        <v>168</v>
      </c>
      <c r="P5" s="161" t="s">
        <v>15</v>
      </c>
      <c r="Q5" s="170" t="s">
        <v>4</v>
      </c>
      <c r="R5" s="169" t="s">
        <v>112</v>
      </c>
      <c r="S5" s="174" t="s">
        <v>113</v>
      </c>
      <c r="T5" s="166" t="s">
        <v>170</v>
      </c>
      <c r="U5" s="167" t="s">
        <v>2</v>
      </c>
      <c r="V5" s="168" t="s">
        <v>4</v>
      </c>
      <c r="W5" s="166" t="s">
        <v>169</v>
      </c>
      <c r="X5" s="158" t="s">
        <v>120</v>
      </c>
      <c r="Y5" s="164" t="s">
        <v>14</v>
      </c>
      <c r="Z5" s="233" t="s">
        <v>4</v>
      </c>
      <c r="AA5" s="371" t="s">
        <v>109</v>
      </c>
      <c r="AB5" s="372"/>
      <c r="AC5" s="373"/>
      <c r="AD5" s="157"/>
      <c r="AE5" s="242"/>
      <c r="AF5" s="241"/>
      <c r="AG5" s="262">
        <v>1</v>
      </c>
      <c r="AH5" s="262">
        <v>2</v>
      </c>
      <c r="AI5" s="262">
        <v>3</v>
      </c>
      <c r="AJ5" s="262">
        <v>4</v>
      </c>
      <c r="AK5" s="263">
        <v>5</v>
      </c>
      <c r="AL5" s="211"/>
    </row>
    <row r="6" spans="1:38" ht="12.6" customHeight="1" x14ac:dyDescent="0.3">
      <c r="C6" s="362">
        <v>9.9999999999999995E-7</v>
      </c>
      <c r="D6" s="280">
        <v>40</v>
      </c>
      <c r="E6" s="281">
        <v>50</v>
      </c>
      <c r="F6" s="282">
        <v>100</v>
      </c>
      <c r="G6" s="361">
        <v>1E-8</v>
      </c>
      <c r="H6" s="283" t="s">
        <v>161</v>
      </c>
      <c r="I6" s="264" t="s">
        <v>96</v>
      </c>
      <c r="J6" s="265">
        <v>6</v>
      </c>
      <c r="K6" s="266">
        <v>100</v>
      </c>
      <c r="L6" s="267">
        <v>14</v>
      </c>
      <c r="M6" s="284">
        <f>IF(L6=0,0,L6+J6-1)</f>
        <v>19</v>
      </c>
      <c r="N6" s="285">
        <f>IF(L6=0,0,K6/L6)</f>
        <v>7.1428571428571432</v>
      </c>
      <c r="O6" s="286" t="s">
        <v>121</v>
      </c>
      <c r="P6" s="268">
        <v>100</v>
      </c>
      <c r="Q6" s="269">
        <v>0.06</v>
      </c>
      <c r="R6" s="270">
        <v>15</v>
      </c>
      <c r="S6" s="271">
        <v>12</v>
      </c>
      <c r="T6" s="283" t="s">
        <v>122</v>
      </c>
      <c r="U6" s="272">
        <v>210</v>
      </c>
      <c r="V6" s="273">
        <v>0.03</v>
      </c>
      <c r="W6" s="287" t="s">
        <v>158</v>
      </c>
      <c r="X6" s="266">
        <v>1</v>
      </c>
      <c r="Y6" s="265">
        <v>100</v>
      </c>
      <c r="Z6" s="274">
        <v>0.02</v>
      </c>
      <c r="AA6" s="227"/>
      <c r="AB6" s="217" t="s">
        <v>114</v>
      </c>
      <c r="AC6" s="229" t="s">
        <v>166</v>
      </c>
      <c r="AE6" s="243"/>
      <c r="AF6" s="237" t="s">
        <v>127</v>
      </c>
      <c r="AG6" s="238"/>
      <c r="AH6" s="238"/>
      <c r="AI6" s="238"/>
      <c r="AJ6" s="238"/>
      <c r="AK6" s="238"/>
      <c r="AL6" s="240"/>
    </row>
    <row r="7" spans="1:38" ht="12.6" customHeight="1" x14ac:dyDescent="0.3">
      <c r="C7" s="330">
        <v>6</v>
      </c>
      <c r="D7" s="331">
        <v>15</v>
      </c>
      <c r="E7" s="332">
        <v>10</v>
      </c>
      <c r="F7" s="333">
        <v>20</v>
      </c>
      <c r="G7" s="334">
        <v>0.1</v>
      </c>
      <c r="H7" s="335" t="s">
        <v>159</v>
      </c>
      <c r="I7" s="336" t="s">
        <v>94</v>
      </c>
      <c r="J7" s="337">
        <v>1</v>
      </c>
      <c r="K7" s="338">
        <v>4</v>
      </c>
      <c r="L7" s="339">
        <v>10</v>
      </c>
      <c r="M7" s="340">
        <f>IF(L7=0,0,L7+J7-1)</f>
        <v>10</v>
      </c>
      <c r="N7" s="341">
        <f t="shared" ref="N7:N35" si="0">IF(L7=0,0,K7/L7)</f>
        <v>0.4</v>
      </c>
      <c r="O7" s="342" t="s">
        <v>156</v>
      </c>
      <c r="P7" s="343">
        <v>210</v>
      </c>
      <c r="Q7" s="344">
        <v>7.0000000000000007E-2</v>
      </c>
      <c r="R7" s="345">
        <v>12</v>
      </c>
      <c r="S7" s="346">
        <v>9</v>
      </c>
      <c r="T7" s="335" t="s">
        <v>157</v>
      </c>
      <c r="U7" s="347">
        <v>180</v>
      </c>
      <c r="V7" s="348">
        <v>0.02</v>
      </c>
      <c r="W7" s="349" t="s">
        <v>160</v>
      </c>
      <c r="X7" s="338">
        <v>1</v>
      </c>
      <c r="Y7" s="337">
        <v>70</v>
      </c>
      <c r="Z7" s="350">
        <v>0.01</v>
      </c>
      <c r="AA7" s="221" t="s">
        <v>196</v>
      </c>
      <c r="AB7" s="275">
        <v>0.5</v>
      </c>
      <c r="AC7" s="352">
        <v>0.45</v>
      </c>
      <c r="AE7" s="236"/>
      <c r="AF7" s="203" t="s">
        <v>216</v>
      </c>
      <c r="AG7" s="253">
        <f>CapEx!$E11</f>
        <v>154</v>
      </c>
      <c r="AH7" s="254">
        <f>CapEx!$F11</f>
        <v>0</v>
      </c>
      <c r="AI7" s="254">
        <f>CapEx!$G11</f>
        <v>0</v>
      </c>
      <c r="AJ7" s="254">
        <f>CapEx!$H11</f>
        <v>0</v>
      </c>
      <c r="AK7" s="258">
        <f>CapEx!$I11</f>
        <v>0</v>
      </c>
      <c r="AL7" s="209"/>
    </row>
    <row r="8" spans="1:38" ht="12.6" customHeight="1" x14ac:dyDescent="0.3">
      <c r="C8" s="330">
        <v>13</v>
      </c>
      <c r="D8" s="331">
        <v>60</v>
      </c>
      <c r="E8" s="332">
        <v>20</v>
      </c>
      <c r="F8" s="333">
        <v>30</v>
      </c>
      <c r="G8" s="334">
        <v>0.05</v>
      </c>
      <c r="H8" s="335" t="s">
        <v>97</v>
      </c>
      <c r="I8" s="336" t="s">
        <v>97</v>
      </c>
      <c r="J8" s="337">
        <v>3</v>
      </c>
      <c r="K8" s="338">
        <v>50</v>
      </c>
      <c r="L8" s="339"/>
      <c r="M8" s="340">
        <f t="shared" ref="M8:M35" si="1">IF(L8=0,0,L8+J8-1)</f>
        <v>0</v>
      </c>
      <c r="N8" s="341">
        <f t="shared" si="0"/>
        <v>0</v>
      </c>
      <c r="O8" s="351" t="s">
        <v>162</v>
      </c>
      <c r="P8" s="343">
        <v>320</v>
      </c>
      <c r="Q8" s="344">
        <v>0.04</v>
      </c>
      <c r="R8" s="345">
        <v>5.0999999999999996</v>
      </c>
      <c r="S8" s="346">
        <v>3.46</v>
      </c>
      <c r="T8" s="335" t="s">
        <v>163</v>
      </c>
      <c r="U8" s="347">
        <v>100</v>
      </c>
      <c r="V8" s="348">
        <v>0.05</v>
      </c>
      <c r="W8" s="349" t="s">
        <v>164</v>
      </c>
      <c r="X8" s="338">
        <v>2</v>
      </c>
      <c r="Y8" s="337">
        <v>60</v>
      </c>
      <c r="Z8" s="350">
        <v>0.01</v>
      </c>
      <c r="AA8" s="221" t="s">
        <v>231</v>
      </c>
      <c r="AB8" s="276">
        <v>0.5</v>
      </c>
      <c r="AC8" s="353">
        <v>0.55000000000000004</v>
      </c>
      <c r="AD8" s="157"/>
      <c r="AE8" s="236"/>
      <c r="AF8" s="203" t="s">
        <v>217</v>
      </c>
      <c r="AG8" s="255">
        <f>CapEx!$E19</f>
        <v>54.000000000000014</v>
      </c>
      <c r="AH8" s="177">
        <f>CapEx!$F19</f>
        <v>50.000000000000007</v>
      </c>
      <c r="AI8" s="177">
        <f>CapEx!$G19</f>
        <v>0</v>
      </c>
      <c r="AJ8" s="177">
        <f>CapEx!$H19</f>
        <v>0</v>
      </c>
      <c r="AK8" s="259">
        <f>CapEx!$I19</f>
        <v>0</v>
      </c>
      <c r="AL8" s="209"/>
    </row>
    <row r="9" spans="1:38" ht="12.6" customHeight="1" x14ac:dyDescent="0.3">
      <c r="C9" s="330"/>
      <c r="D9" s="331"/>
      <c r="E9" s="332"/>
      <c r="F9" s="333"/>
      <c r="G9" s="334"/>
      <c r="H9" s="335"/>
      <c r="I9" s="294"/>
      <c r="J9" s="295"/>
      <c r="K9" s="296"/>
      <c r="L9" s="297"/>
      <c r="M9" s="298">
        <f t="shared" si="1"/>
        <v>0</v>
      </c>
      <c r="N9" s="299">
        <f t="shared" si="0"/>
        <v>0</v>
      </c>
      <c r="O9" s="308"/>
      <c r="P9" s="300"/>
      <c r="Q9" s="301"/>
      <c r="R9" s="302"/>
      <c r="S9" s="303"/>
      <c r="T9" s="293"/>
      <c r="U9" s="304"/>
      <c r="V9" s="305"/>
      <c r="W9" s="306"/>
      <c r="X9" s="296"/>
      <c r="Y9" s="295"/>
      <c r="Z9" s="307"/>
      <c r="AA9" s="228" t="s">
        <v>197</v>
      </c>
      <c r="AB9" s="230">
        <f>SUM(AB7:AB8)</f>
        <v>1</v>
      </c>
      <c r="AC9" s="231">
        <f>SUM(AC7:AC8)</f>
        <v>1</v>
      </c>
      <c r="AD9" s="19"/>
      <c r="AE9" s="236"/>
      <c r="AF9" s="239" t="s">
        <v>128</v>
      </c>
      <c r="AG9" s="205"/>
      <c r="AH9" s="205"/>
      <c r="AI9" s="205"/>
      <c r="AJ9" s="205"/>
      <c r="AK9" s="260"/>
      <c r="AL9" s="209"/>
    </row>
    <row r="10" spans="1:38" ht="12.6" customHeight="1" x14ac:dyDescent="0.3">
      <c r="C10" s="330"/>
      <c r="D10" s="331"/>
      <c r="E10" s="332"/>
      <c r="F10" s="333"/>
      <c r="G10" s="334"/>
      <c r="H10" s="335"/>
      <c r="I10" s="294"/>
      <c r="J10" s="295"/>
      <c r="K10" s="296"/>
      <c r="L10" s="297"/>
      <c r="M10" s="298">
        <f t="shared" si="1"/>
        <v>0</v>
      </c>
      <c r="N10" s="299">
        <f t="shared" si="0"/>
        <v>0</v>
      </c>
      <c r="O10" s="308"/>
      <c r="P10" s="300"/>
      <c r="Q10" s="301"/>
      <c r="R10" s="302"/>
      <c r="S10" s="303"/>
      <c r="T10" s="293"/>
      <c r="U10" s="304"/>
      <c r="V10" s="305"/>
      <c r="W10" s="306"/>
      <c r="X10" s="296"/>
      <c r="Y10" s="295"/>
      <c r="Z10" s="307"/>
      <c r="AA10" s="368" t="s">
        <v>173</v>
      </c>
      <c r="AB10" s="369"/>
      <c r="AC10" s="370"/>
      <c r="AD10" s="19"/>
      <c r="AE10" s="236"/>
      <c r="AF10" s="203" t="s">
        <v>218</v>
      </c>
      <c r="AG10" s="253">
        <f>Income!$E6</f>
        <v>5788.4603088640351</v>
      </c>
      <c r="AH10" s="254">
        <f>Income!$F6</f>
        <v>6096.2593887798221</v>
      </c>
      <c r="AI10" s="254">
        <f>Income!$G6</f>
        <v>6420.4255626276372</v>
      </c>
      <c r="AJ10" s="254">
        <f>Income!$H6</f>
        <v>6761.8291441324391</v>
      </c>
      <c r="AK10" s="258">
        <f>Income!$I6</f>
        <v>7121.3867256061494</v>
      </c>
      <c r="AL10" s="209"/>
    </row>
    <row r="11" spans="1:38" ht="12.6" customHeight="1" x14ac:dyDescent="0.3">
      <c r="C11" s="288"/>
      <c r="D11" s="289"/>
      <c r="E11" s="290"/>
      <c r="F11" s="291"/>
      <c r="G11" s="292"/>
      <c r="H11" s="293"/>
      <c r="I11" s="294"/>
      <c r="J11" s="295"/>
      <c r="K11" s="296"/>
      <c r="L11" s="297"/>
      <c r="M11" s="298">
        <f t="shared" si="1"/>
        <v>0</v>
      </c>
      <c r="N11" s="299">
        <f t="shared" si="0"/>
        <v>0</v>
      </c>
      <c r="O11" s="308"/>
      <c r="P11" s="300"/>
      <c r="Q11" s="301"/>
      <c r="R11" s="302"/>
      <c r="S11" s="303"/>
      <c r="T11" s="293"/>
      <c r="U11" s="304"/>
      <c r="V11" s="305"/>
      <c r="W11" s="306"/>
      <c r="X11" s="296"/>
      <c r="Y11" s="295"/>
      <c r="Z11" s="307"/>
      <c r="AA11" s="221" t="s">
        <v>210</v>
      </c>
      <c r="AB11" s="223"/>
      <c r="AC11" s="277">
        <v>7.0000000000000007E-2</v>
      </c>
      <c r="AD11" s="19"/>
      <c r="AE11" s="236"/>
      <c r="AF11" s="203" t="s">
        <v>219</v>
      </c>
      <c r="AG11" s="256">
        <f>Income!$E7</f>
        <v>4298.5360241267026</v>
      </c>
      <c r="AH11" s="257">
        <f>Income!$F7</f>
        <v>4527.1089714413774</v>
      </c>
      <c r="AI11" s="257">
        <f>Income!$G7</f>
        <v>4767.8361945259576</v>
      </c>
      <c r="AJ11" s="257">
        <f>Income!$H7</f>
        <v>5021.3639921713875</v>
      </c>
      <c r="AK11" s="261">
        <f>Income!$I7</f>
        <v>5288.3730298503406</v>
      </c>
      <c r="AL11" s="209"/>
    </row>
    <row r="12" spans="1:38" ht="12.6" customHeight="1" x14ac:dyDescent="0.3">
      <c r="C12" s="288"/>
      <c r="D12" s="289"/>
      <c r="E12" s="290"/>
      <c r="F12" s="291"/>
      <c r="G12" s="292"/>
      <c r="H12" s="293"/>
      <c r="I12" s="294"/>
      <c r="J12" s="295"/>
      <c r="K12" s="296"/>
      <c r="L12" s="297"/>
      <c r="M12" s="298">
        <f t="shared" si="1"/>
        <v>0</v>
      </c>
      <c r="N12" s="299">
        <f t="shared" si="0"/>
        <v>0</v>
      </c>
      <c r="O12" s="308"/>
      <c r="P12" s="300"/>
      <c r="Q12" s="301"/>
      <c r="R12" s="302"/>
      <c r="S12" s="303"/>
      <c r="T12" s="293"/>
      <c r="U12" s="304"/>
      <c r="V12" s="305"/>
      <c r="W12" s="306"/>
      <c r="X12" s="296"/>
      <c r="Y12" s="295"/>
      <c r="Z12" s="307"/>
      <c r="AA12" s="221" t="s">
        <v>211</v>
      </c>
      <c r="AB12" s="223"/>
      <c r="AC12" s="354">
        <v>8.7499999999999994E-2</v>
      </c>
      <c r="AD12" s="19"/>
      <c r="AE12" s="236"/>
      <c r="AF12" s="203" t="s">
        <v>220</v>
      </c>
      <c r="AG12" s="256">
        <f>Income!E$12</f>
        <v>876.11037657355519</v>
      </c>
      <c r="AH12" s="257">
        <f>Income!F$12</f>
        <v>896.31809091054743</v>
      </c>
      <c r="AI12" s="257">
        <f>Income!G$12</f>
        <v>917.05376936974596</v>
      </c>
      <c r="AJ12" s="257">
        <f>Income!H$12</f>
        <v>938.33230288802156</v>
      </c>
      <c r="AK12" s="261">
        <f>Income!I$12</f>
        <v>960.16901956145432</v>
      </c>
      <c r="AL12" s="209"/>
    </row>
    <row r="13" spans="1:38" ht="12.6" customHeight="1" x14ac:dyDescent="0.3">
      <c r="C13" s="288"/>
      <c r="D13" s="289"/>
      <c r="E13" s="290"/>
      <c r="F13" s="291"/>
      <c r="G13" s="292"/>
      <c r="H13" s="293"/>
      <c r="I13" s="294"/>
      <c r="J13" s="295"/>
      <c r="K13" s="296"/>
      <c r="L13" s="297"/>
      <c r="M13" s="298">
        <f t="shared" si="1"/>
        <v>0</v>
      </c>
      <c r="N13" s="299">
        <f t="shared" si="0"/>
        <v>0</v>
      </c>
      <c r="O13" s="308"/>
      <c r="P13" s="300"/>
      <c r="Q13" s="301"/>
      <c r="R13" s="302"/>
      <c r="S13" s="303"/>
      <c r="T13" s="293"/>
      <c r="U13" s="304"/>
      <c r="V13" s="305"/>
      <c r="W13" s="306"/>
      <c r="X13" s="296"/>
      <c r="Y13" s="295"/>
      <c r="Z13" s="307"/>
      <c r="AA13" s="221" t="s">
        <v>212</v>
      </c>
      <c r="AB13" s="223"/>
      <c r="AC13" s="355">
        <v>0.105</v>
      </c>
      <c r="AD13" s="19"/>
      <c r="AE13" s="236"/>
      <c r="AF13" s="203" t="s">
        <v>221</v>
      </c>
      <c r="AG13" s="256">
        <f>Income!$E21</f>
        <v>13.679166666666664</v>
      </c>
      <c r="AH13" s="257">
        <f>Income!$F21</f>
        <v>18.724999999999998</v>
      </c>
      <c r="AI13" s="257">
        <f>Income!$G21</f>
        <v>18.724999999999998</v>
      </c>
      <c r="AJ13" s="257">
        <f>Income!$H21</f>
        <v>18.724999999999998</v>
      </c>
      <c r="AK13" s="261">
        <f>Income!$I21</f>
        <v>18.724999999999998</v>
      </c>
      <c r="AL13" s="209"/>
    </row>
    <row r="14" spans="1:38" ht="12.6" customHeight="1" x14ac:dyDescent="0.3">
      <c r="C14" s="288"/>
      <c r="D14" s="289"/>
      <c r="E14" s="290"/>
      <c r="F14" s="291"/>
      <c r="G14" s="292"/>
      <c r="H14" s="293"/>
      <c r="I14" s="294"/>
      <c r="J14" s="295"/>
      <c r="K14" s="296"/>
      <c r="L14" s="297"/>
      <c r="M14" s="298">
        <f t="shared" si="1"/>
        <v>0</v>
      </c>
      <c r="N14" s="299">
        <f t="shared" si="0"/>
        <v>0</v>
      </c>
      <c r="O14" s="308"/>
      <c r="P14" s="300"/>
      <c r="Q14" s="301"/>
      <c r="R14" s="302"/>
      <c r="S14" s="303"/>
      <c r="T14" s="293"/>
      <c r="U14" s="304"/>
      <c r="V14" s="305"/>
      <c r="W14" s="306"/>
      <c r="X14" s="296"/>
      <c r="Y14" s="295"/>
      <c r="Z14" s="307"/>
      <c r="AA14" s="221" t="s">
        <v>198</v>
      </c>
      <c r="AB14" s="223"/>
      <c r="AC14" s="224">
        <f ca="1">((RateShort*Balance!F22)+(RateLong*Balance!F24)+(RateEquity*Balance!E28)) / SUM(Balance!F22,Balance!F24,Balance!E28)</f>
        <v>9.5892272573632198E-2</v>
      </c>
      <c r="AD14" s="19"/>
      <c r="AE14" s="236"/>
      <c r="AF14" s="203" t="s">
        <v>222</v>
      </c>
      <c r="AG14" s="255">
        <f>Income!$E23</f>
        <v>327.68084489826578</v>
      </c>
      <c r="AH14" s="177">
        <f>Income!$F23</f>
        <v>362.46439585673778</v>
      </c>
      <c r="AI14" s="177">
        <f>Income!$G23</f>
        <v>430.08635923915972</v>
      </c>
      <c r="AJ14" s="177">
        <f>Income!$H23</f>
        <v>470.04470944381927</v>
      </c>
      <c r="AK14" s="259">
        <f>Income!$I23</f>
        <v>512.47180571661238</v>
      </c>
      <c r="AL14" s="209"/>
    </row>
    <row r="15" spans="1:38" ht="12.6" customHeight="1" x14ac:dyDescent="0.3">
      <c r="B15" s="19"/>
      <c r="C15" s="288"/>
      <c r="D15" s="289"/>
      <c r="E15" s="290"/>
      <c r="F15" s="291"/>
      <c r="G15" s="292"/>
      <c r="H15" s="293"/>
      <c r="I15" s="294"/>
      <c r="J15" s="295"/>
      <c r="K15" s="296"/>
      <c r="L15" s="297"/>
      <c r="M15" s="298">
        <f t="shared" si="1"/>
        <v>0</v>
      </c>
      <c r="N15" s="299">
        <f t="shared" si="0"/>
        <v>0</v>
      </c>
      <c r="O15" s="308"/>
      <c r="P15" s="300"/>
      <c r="Q15" s="301"/>
      <c r="R15" s="302"/>
      <c r="S15" s="303"/>
      <c r="T15" s="293"/>
      <c r="U15" s="304"/>
      <c r="V15" s="305"/>
      <c r="W15" s="306"/>
      <c r="X15" s="296"/>
      <c r="Y15" s="295"/>
      <c r="Z15" s="307"/>
      <c r="AA15" s="368" t="s">
        <v>37</v>
      </c>
      <c r="AB15" s="369"/>
      <c r="AC15" s="370"/>
      <c r="AD15" s="19"/>
      <c r="AE15" s="236"/>
      <c r="AF15" s="239" t="s">
        <v>17</v>
      </c>
      <c r="AG15" s="205"/>
      <c r="AH15" s="205"/>
      <c r="AI15" s="205"/>
      <c r="AJ15" s="205"/>
      <c r="AK15" s="260"/>
      <c r="AL15" s="209"/>
    </row>
    <row r="16" spans="1:38" ht="12.6" customHeight="1" x14ac:dyDescent="0.3">
      <c r="B16" s="19"/>
      <c r="C16" s="288"/>
      <c r="D16" s="289"/>
      <c r="E16" s="290"/>
      <c r="F16" s="291"/>
      <c r="G16" s="292"/>
      <c r="H16" s="293"/>
      <c r="I16" s="294"/>
      <c r="J16" s="295"/>
      <c r="K16" s="296"/>
      <c r="L16" s="297"/>
      <c r="M16" s="298">
        <f t="shared" si="1"/>
        <v>0</v>
      </c>
      <c r="N16" s="299">
        <f t="shared" si="0"/>
        <v>0</v>
      </c>
      <c r="O16" s="308"/>
      <c r="P16" s="300"/>
      <c r="Q16" s="301"/>
      <c r="R16" s="302"/>
      <c r="S16" s="303"/>
      <c r="T16" s="293"/>
      <c r="U16" s="304"/>
      <c r="V16" s="305"/>
      <c r="W16" s="306"/>
      <c r="X16" s="296"/>
      <c r="Y16" s="295"/>
      <c r="Z16" s="307"/>
      <c r="AA16" s="221" t="s">
        <v>213</v>
      </c>
      <c r="AB16" s="222"/>
      <c r="AC16" s="278">
        <v>2.5000000000000001E-2</v>
      </c>
      <c r="AD16" s="19"/>
      <c r="AE16" s="236"/>
      <c r="AF16" s="203" t="s">
        <v>223</v>
      </c>
      <c r="AG16" s="253">
        <f ca="1">Balance!$E19</f>
        <v>775.83268335215314</v>
      </c>
      <c r="AH16" s="254">
        <f ca="1">Balance!$F19</f>
        <v>1244.6345300065523</v>
      </c>
      <c r="AI16" s="254">
        <f ca="1">Balance!$G19</f>
        <v>1688.0715365993938</v>
      </c>
      <c r="AJ16" s="254">
        <f ca="1">Balance!$H19</f>
        <v>2172.2109850642064</v>
      </c>
      <c r="AK16" s="258">
        <f ca="1">Balance!$I19</f>
        <v>2699.5638776765886</v>
      </c>
      <c r="AL16" s="209"/>
    </row>
    <row r="17" spans="2:38" ht="12.6" customHeight="1" x14ac:dyDescent="0.3">
      <c r="B17" s="19"/>
      <c r="C17" s="288"/>
      <c r="D17" s="289"/>
      <c r="E17" s="290"/>
      <c r="F17" s="291"/>
      <c r="G17" s="292"/>
      <c r="H17" s="293"/>
      <c r="I17" s="294"/>
      <c r="J17" s="295"/>
      <c r="K17" s="296"/>
      <c r="L17" s="297"/>
      <c r="M17" s="298">
        <f t="shared" si="1"/>
        <v>0</v>
      </c>
      <c r="N17" s="299">
        <f t="shared" si="0"/>
        <v>0</v>
      </c>
      <c r="O17" s="308"/>
      <c r="P17" s="300"/>
      <c r="Q17" s="301"/>
      <c r="R17" s="302"/>
      <c r="S17" s="303"/>
      <c r="T17" s="293"/>
      <c r="U17" s="304"/>
      <c r="V17" s="305"/>
      <c r="W17" s="306"/>
      <c r="X17" s="296"/>
      <c r="Y17" s="295"/>
      <c r="Z17" s="307"/>
      <c r="AA17" s="221" t="s">
        <v>199</v>
      </c>
      <c r="AB17" s="222"/>
      <c r="AC17" s="356">
        <v>5</v>
      </c>
      <c r="AD17" s="19"/>
      <c r="AE17" s="236"/>
      <c r="AF17" s="203" t="s">
        <v>224</v>
      </c>
      <c r="AG17" s="256">
        <f>Balance!$E25</f>
        <v>410.18464229483413</v>
      </c>
      <c r="AH17" s="257">
        <f>Balance!$F25</f>
        <v>472.83113315486884</v>
      </c>
      <c r="AI17" s="257">
        <f>Balance!$G25</f>
        <v>486.18178050855022</v>
      </c>
      <c r="AJ17" s="257">
        <f>Balance!$H25</f>
        <v>500.27651952954375</v>
      </c>
      <c r="AK17" s="261">
        <f>Balance!$I25</f>
        <v>515.15760642531404</v>
      </c>
      <c r="AL17" s="209"/>
    </row>
    <row r="18" spans="2:38" ht="12.6" customHeight="1" x14ac:dyDescent="0.3">
      <c r="B18" s="19"/>
      <c r="C18" s="288"/>
      <c r="D18" s="289"/>
      <c r="E18" s="290"/>
      <c r="F18" s="291"/>
      <c r="G18" s="292"/>
      <c r="H18" s="293"/>
      <c r="I18" s="294"/>
      <c r="J18" s="295"/>
      <c r="K18" s="296"/>
      <c r="L18" s="297"/>
      <c r="M18" s="298">
        <f t="shared" si="1"/>
        <v>0</v>
      </c>
      <c r="N18" s="299">
        <f t="shared" si="0"/>
        <v>0</v>
      </c>
      <c r="O18" s="308"/>
      <c r="P18" s="300"/>
      <c r="Q18" s="301"/>
      <c r="R18" s="302"/>
      <c r="S18" s="303"/>
      <c r="T18" s="293"/>
      <c r="U18" s="304"/>
      <c r="V18" s="305"/>
      <c r="W18" s="306"/>
      <c r="X18" s="296"/>
      <c r="Y18" s="295"/>
      <c r="Z18" s="307"/>
      <c r="AA18" s="221" t="s">
        <v>200</v>
      </c>
      <c r="AB18" s="222"/>
      <c r="AC18" s="357">
        <v>8</v>
      </c>
      <c r="AD18" s="19"/>
      <c r="AE18" s="236"/>
      <c r="AF18" s="203" t="s">
        <v>125</v>
      </c>
      <c r="AG18" s="255">
        <f ca="1">Balance!$E28</f>
        <v>365.6480410573194</v>
      </c>
      <c r="AH18" s="177">
        <f ca="1">Balance!$F28</f>
        <v>771.8033968516836</v>
      </c>
      <c r="AI18" s="177">
        <f ca="1">Balance!$G28</f>
        <v>1201.8897560908433</v>
      </c>
      <c r="AJ18" s="177">
        <f ca="1">Balance!$H28</f>
        <v>1671.9344655346626</v>
      </c>
      <c r="AK18" s="259">
        <f ca="1">Balance!$I28</f>
        <v>2184.406271251275</v>
      </c>
      <c r="AL18" s="209"/>
    </row>
    <row r="19" spans="2:38" ht="12.6" customHeight="1" x14ac:dyDescent="0.3">
      <c r="B19" s="19"/>
      <c r="C19" s="288"/>
      <c r="D19" s="289"/>
      <c r="E19" s="290"/>
      <c r="F19" s="291"/>
      <c r="G19" s="292"/>
      <c r="H19" s="293"/>
      <c r="I19" s="294"/>
      <c r="J19" s="295"/>
      <c r="K19" s="296"/>
      <c r="L19" s="297"/>
      <c r="M19" s="298">
        <f t="shared" ref="M19:M24" si="2">IF(L19=0,0,L19+J19-1)</f>
        <v>0</v>
      </c>
      <c r="N19" s="299">
        <f t="shared" si="0"/>
        <v>0</v>
      </c>
      <c r="O19" s="308"/>
      <c r="P19" s="300"/>
      <c r="Q19" s="301"/>
      <c r="R19" s="302"/>
      <c r="S19" s="303"/>
      <c r="T19" s="293"/>
      <c r="U19" s="304"/>
      <c r="V19" s="305"/>
      <c r="W19" s="306"/>
      <c r="X19" s="296"/>
      <c r="Y19" s="295"/>
      <c r="Z19" s="307"/>
      <c r="AA19" s="368" t="s">
        <v>176</v>
      </c>
      <c r="AB19" s="369"/>
      <c r="AC19" s="370"/>
      <c r="AD19" s="19"/>
      <c r="AE19" s="236"/>
      <c r="AF19" s="239" t="s">
        <v>195</v>
      </c>
      <c r="AG19" s="205"/>
      <c r="AH19" s="205"/>
      <c r="AI19" s="205"/>
      <c r="AJ19" s="205"/>
      <c r="AK19" s="260"/>
      <c r="AL19" s="209"/>
    </row>
    <row r="20" spans="2:38" ht="12.6" customHeight="1" x14ac:dyDescent="0.3">
      <c r="B20" s="19"/>
      <c r="C20" s="288"/>
      <c r="D20" s="289"/>
      <c r="E20" s="290"/>
      <c r="F20" s="291"/>
      <c r="G20" s="292"/>
      <c r="H20" s="293"/>
      <c r="I20" s="294"/>
      <c r="J20" s="295"/>
      <c r="K20" s="296"/>
      <c r="L20" s="297"/>
      <c r="M20" s="298">
        <f t="shared" si="2"/>
        <v>0</v>
      </c>
      <c r="N20" s="299">
        <f t="shared" si="0"/>
        <v>0</v>
      </c>
      <c r="O20" s="308"/>
      <c r="P20" s="300"/>
      <c r="Q20" s="301"/>
      <c r="R20" s="302"/>
      <c r="S20" s="303"/>
      <c r="T20" s="293"/>
      <c r="U20" s="304"/>
      <c r="V20" s="305"/>
      <c r="W20" s="306"/>
      <c r="X20" s="296"/>
      <c r="Y20" s="295"/>
      <c r="Z20" s="307"/>
      <c r="AA20" s="214" t="s">
        <v>201</v>
      </c>
      <c r="AB20" s="226"/>
      <c r="AC20" s="358">
        <v>0.3</v>
      </c>
      <c r="AD20" s="19"/>
      <c r="AE20" s="236"/>
      <c r="AF20" s="203" t="s">
        <v>225</v>
      </c>
      <c r="AG20" s="253">
        <f>Cash!E37</f>
        <v>203.29618175841702</v>
      </c>
      <c r="AH20" s="254">
        <f>Cash!F37</f>
        <v>396.47161730797035</v>
      </c>
      <c r="AI20" s="254">
        <f>Cash!G37</f>
        <v>412.47033531550346</v>
      </c>
      <c r="AJ20" s="254">
        <f>Cash!H37</f>
        <v>450.62799860490048</v>
      </c>
      <c r="AK20" s="258">
        <f>Cash!I37</f>
        <v>491.05683466431418</v>
      </c>
      <c r="AL20" s="209"/>
    </row>
    <row r="21" spans="2:38" ht="12.6" customHeight="1" x14ac:dyDescent="0.3">
      <c r="B21" s="19"/>
      <c r="C21" s="288"/>
      <c r="D21" s="289"/>
      <c r="E21" s="290"/>
      <c r="F21" s="291"/>
      <c r="G21" s="292"/>
      <c r="H21" s="293"/>
      <c r="I21" s="294"/>
      <c r="J21" s="295"/>
      <c r="K21" s="296"/>
      <c r="L21" s="297"/>
      <c r="M21" s="298">
        <f t="shared" si="2"/>
        <v>0</v>
      </c>
      <c r="N21" s="299">
        <f t="shared" si="0"/>
        <v>0</v>
      </c>
      <c r="O21" s="308"/>
      <c r="P21" s="300"/>
      <c r="Q21" s="301"/>
      <c r="R21" s="302"/>
      <c r="S21" s="303"/>
      <c r="T21" s="293"/>
      <c r="U21" s="304"/>
      <c r="V21" s="305"/>
      <c r="W21" s="306"/>
      <c r="X21" s="296"/>
      <c r="Y21" s="295"/>
      <c r="Z21" s="307"/>
      <c r="AA21" s="225" t="s">
        <v>202</v>
      </c>
      <c r="AB21" s="232"/>
      <c r="AC21" s="359">
        <v>0.4</v>
      </c>
      <c r="AD21" s="19"/>
      <c r="AE21" s="236"/>
      <c r="AF21" s="203" t="s">
        <v>226</v>
      </c>
      <c r="AG21" s="256">
        <f>Cash!E38</f>
        <v>-154</v>
      </c>
      <c r="AH21" s="257">
        <f>Cash!F38</f>
        <v>0</v>
      </c>
      <c r="AI21" s="257">
        <f>Cash!G38</f>
        <v>0</v>
      </c>
      <c r="AJ21" s="257">
        <f>Cash!H38</f>
        <v>0</v>
      </c>
      <c r="AK21" s="261">
        <f>Cash!I38</f>
        <v>0</v>
      </c>
      <c r="AL21" s="209"/>
    </row>
    <row r="22" spans="2:38" ht="12.6" customHeight="1" x14ac:dyDescent="0.3">
      <c r="B22" s="19"/>
      <c r="C22" s="288"/>
      <c r="D22" s="289"/>
      <c r="E22" s="290"/>
      <c r="F22" s="291"/>
      <c r="G22" s="292"/>
      <c r="H22" s="293"/>
      <c r="I22" s="294"/>
      <c r="J22" s="295"/>
      <c r="K22" s="296"/>
      <c r="L22" s="297"/>
      <c r="M22" s="298">
        <f t="shared" si="2"/>
        <v>0</v>
      </c>
      <c r="N22" s="299">
        <f t="shared" si="0"/>
        <v>0</v>
      </c>
      <c r="O22" s="308"/>
      <c r="P22" s="300"/>
      <c r="Q22" s="301"/>
      <c r="R22" s="302"/>
      <c r="S22" s="303"/>
      <c r="T22" s="293"/>
      <c r="U22" s="304"/>
      <c r="V22" s="305"/>
      <c r="W22" s="306"/>
      <c r="X22" s="296"/>
      <c r="Y22" s="295"/>
      <c r="Z22" s="307"/>
      <c r="AA22" s="368" t="s">
        <v>175</v>
      </c>
      <c r="AB22" s="369"/>
      <c r="AC22" s="370"/>
      <c r="AD22" s="19"/>
      <c r="AE22" s="236"/>
      <c r="AF22" s="203" t="s">
        <v>227</v>
      </c>
      <c r="AG22" s="256">
        <f ca="1">Cash!E39</f>
        <v>28</v>
      </c>
      <c r="AH22" s="257">
        <f ca="1">Cash!F39</f>
        <v>94</v>
      </c>
      <c r="AI22" s="257">
        <f ca="1">Cash!G39</f>
        <v>0</v>
      </c>
      <c r="AJ22" s="257">
        <f ca="1">Cash!H39</f>
        <v>0</v>
      </c>
      <c r="AK22" s="261">
        <f ca="1">Cash!I39</f>
        <v>0</v>
      </c>
      <c r="AL22" s="209"/>
    </row>
    <row r="23" spans="2:38" ht="12.6" customHeight="1" x14ac:dyDescent="0.3">
      <c r="B23" s="19"/>
      <c r="C23" s="288"/>
      <c r="D23" s="289"/>
      <c r="E23" s="290"/>
      <c r="F23" s="291"/>
      <c r="G23" s="292"/>
      <c r="H23" s="293"/>
      <c r="I23" s="294"/>
      <c r="J23" s="295"/>
      <c r="K23" s="296"/>
      <c r="L23" s="297"/>
      <c r="M23" s="298">
        <f t="shared" si="2"/>
        <v>0</v>
      </c>
      <c r="N23" s="299">
        <f t="shared" si="0"/>
        <v>0</v>
      </c>
      <c r="O23" s="308"/>
      <c r="P23" s="300"/>
      <c r="Q23" s="301"/>
      <c r="R23" s="302"/>
      <c r="S23" s="303"/>
      <c r="T23" s="293"/>
      <c r="U23" s="304"/>
      <c r="V23" s="305"/>
      <c r="W23" s="306"/>
      <c r="X23" s="296"/>
      <c r="Y23" s="295"/>
      <c r="Z23" s="307"/>
      <c r="AA23" s="234" t="s">
        <v>203</v>
      </c>
      <c r="AB23" s="192"/>
      <c r="AC23" s="355">
        <v>0.15</v>
      </c>
      <c r="AD23" s="155"/>
      <c r="AE23" s="236"/>
      <c r="AF23" s="203" t="s">
        <v>228</v>
      </c>
      <c r="AG23" s="255">
        <f ca="1">Cash!E40</f>
        <v>77.296181758417021</v>
      </c>
      <c r="AH23" s="177">
        <f ca="1">Cash!F40</f>
        <v>490.47161730797046</v>
      </c>
      <c r="AI23" s="177">
        <f ca="1">Cash!G40</f>
        <v>412.47033531550346</v>
      </c>
      <c r="AJ23" s="177">
        <f ca="1">Cash!H40</f>
        <v>450.62799860490048</v>
      </c>
      <c r="AK23" s="259">
        <f ca="1">Cash!I40</f>
        <v>491.05683466431418</v>
      </c>
      <c r="AL23" s="209"/>
    </row>
    <row r="24" spans="2:38" ht="12.6" customHeight="1" x14ac:dyDescent="0.3">
      <c r="B24" s="19"/>
      <c r="C24" s="288"/>
      <c r="D24" s="289"/>
      <c r="E24" s="290"/>
      <c r="F24" s="291"/>
      <c r="G24" s="292"/>
      <c r="H24" s="293"/>
      <c r="I24" s="294"/>
      <c r="J24" s="295"/>
      <c r="K24" s="296"/>
      <c r="L24" s="297"/>
      <c r="M24" s="298">
        <f t="shared" si="2"/>
        <v>0</v>
      </c>
      <c r="N24" s="299">
        <f t="shared" si="0"/>
        <v>0</v>
      </c>
      <c r="O24" s="308"/>
      <c r="P24" s="300"/>
      <c r="Q24" s="301"/>
      <c r="R24" s="302"/>
      <c r="S24" s="303"/>
      <c r="T24" s="293"/>
      <c r="U24" s="304"/>
      <c r="V24" s="305"/>
      <c r="W24" s="306"/>
      <c r="X24" s="296"/>
      <c r="Y24" s="295"/>
      <c r="Z24" s="307"/>
      <c r="AA24" s="214" t="s">
        <v>214</v>
      </c>
      <c r="AB24" s="192"/>
      <c r="AC24" s="193"/>
      <c r="AD24" s="155"/>
      <c r="AE24" s="244"/>
      <c r="AF24" s="239" t="s">
        <v>207</v>
      </c>
      <c r="AG24" s="212"/>
      <c r="AH24" s="212"/>
      <c r="AI24" s="212"/>
      <c r="AJ24" s="212"/>
      <c r="AK24" s="212"/>
      <c r="AL24" s="213"/>
    </row>
    <row r="25" spans="2:38" ht="12.6" customHeight="1" x14ac:dyDescent="0.3">
      <c r="B25" s="19"/>
      <c r="C25" s="288"/>
      <c r="D25" s="289"/>
      <c r="E25" s="290"/>
      <c r="F25" s="291"/>
      <c r="G25" s="292"/>
      <c r="H25" s="293"/>
      <c r="I25" s="294"/>
      <c r="J25" s="295"/>
      <c r="K25" s="296"/>
      <c r="L25" s="297"/>
      <c r="M25" s="298">
        <f t="shared" si="1"/>
        <v>0</v>
      </c>
      <c r="N25" s="299">
        <f t="shared" si="0"/>
        <v>0</v>
      </c>
      <c r="O25" s="308"/>
      <c r="P25" s="300"/>
      <c r="Q25" s="301"/>
      <c r="R25" s="302"/>
      <c r="S25" s="303"/>
      <c r="T25" s="293"/>
      <c r="U25" s="304"/>
      <c r="V25" s="305"/>
      <c r="W25" s="306"/>
      <c r="X25" s="296"/>
      <c r="Y25" s="295"/>
      <c r="Z25" s="307"/>
      <c r="AA25" s="214" t="s">
        <v>204</v>
      </c>
      <c r="AB25" s="192"/>
      <c r="AC25" s="279">
        <v>0.21</v>
      </c>
      <c r="AD25" s="155"/>
      <c r="AE25" s="245"/>
      <c r="AF25" s="366" t="s">
        <v>206</v>
      </c>
      <c r="AG25" s="249" t="s">
        <v>123</v>
      </c>
      <c r="AH25" s="247">
        <f ca="1">Valuation!$H24</f>
        <v>5927.0810043296169</v>
      </c>
      <c r="AI25" s="212"/>
      <c r="AJ25" s="215"/>
      <c r="AK25" s="215"/>
      <c r="AL25" s="216"/>
    </row>
    <row r="26" spans="2:38" ht="12.6" customHeight="1" x14ac:dyDescent="0.3">
      <c r="B26" s="19"/>
      <c r="C26" s="288"/>
      <c r="D26" s="289"/>
      <c r="E26" s="290"/>
      <c r="F26" s="291"/>
      <c r="G26" s="292"/>
      <c r="H26" s="293"/>
      <c r="I26" s="294"/>
      <c r="J26" s="295"/>
      <c r="K26" s="296"/>
      <c r="L26" s="297"/>
      <c r="M26" s="298">
        <f t="shared" si="1"/>
        <v>0</v>
      </c>
      <c r="N26" s="299">
        <f t="shared" si="0"/>
        <v>0</v>
      </c>
      <c r="O26" s="308"/>
      <c r="P26" s="300"/>
      <c r="Q26" s="301"/>
      <c r="R26" s="302"/>
      <c r="S26" s="303"/>
      <c r="T26" s="293"/>
      <c r="U26" s="304"/>
      <c r="V26" s="305"/>
      <c r="W26" s="306"/>
      <c r="X26" s="296"/>
      <c r="Y26" s="295"/>
      <c r="Z26" s="307"/>
      <c r="AA26" s="214" t="s">
        <v>232</v>
      </c>
      <c r="AB26" s="192"/>
      <c r="AC26" s="354">
        <v>0.06</v>
      </c>
      <c r="AE26" s="245"/>
      <c r="AF26" s="366"/>
      <c r="AG26" s="250" t="s">
        <v>125</v>
      </c>
      <c r="AH26" s="248">
        <f ca="1">Valuation!$H$27</f>
        <v>6454.5069594926845</v>
      </c>
      <c r="AI26" s="212"/>
      <c r="AJ26" s="215"/>
      <c r="AK26" s="215"/>
      <c r="AL26" s="216"/>
    </row>
    <row r="27" spans="2:38" ht="12.6" customHeight="1" x14ac:dyDescent="0.3">
      <c r="B27" s="19"/>
      <c r="C27" s="288"/>
      <c r="D27" s="289"/>
      <c r="E27" s="290"/>
      <c r="F27" s="291"/>
      <c r="G27" s="292"/>
      <c r="H27" s="293"/>
      <c r="I27" s="294"/>
      <c r="J27" s="295"/>
      <c r="K27" s="296"/>
      <c r="L27" s="297"/>
      <c r="M27" s="298">
        <f t="shared" si="1"/>
        <v>0</v>
      </c>
      <c r="N27" s="299">
        <f t="shared" si="0"/>
        <v>0</v>
      </c>
      <c r="O27" s="308"/>
      <c r="P27" s="300"/>
      <c r="Q27" s="301"/>
      <c r="R27" s="302"/>
      <c r="S27" s="303"/>
      <c r="T27" s="293"/>
      <c r="U27" s="304"/>
      <c r="V27" s="305"/>
      <c r="W27" s="306"/>
      <c r="X27" s="296"/>
      <c r="Y27" s="295"/>
      <c r="Z27" s="307"/>
      <c r="AA27" s="214" t="s">
        <v>215</v>
      </c>
      <c r="AB27" s="192"/>
      <c r="AC27" s="193"/>
      <c r="AE27" s="245"/>
      <c r="AF27" s="192"/>
      <c r="AG27" s="220"/>
      <c r="AH27" s="212"/>
      <c r="AI27" s="215"/>
      <c r="AJ27" s="215"/>
      <c r="AK27" s="215"/>
      <c r="AL27" s="216"/>
    </row>
    <row r="28" spans="2:38" ht="12.6" customHeight="1" x14ac:dyDescent="0.3">
      <c r="B28" s="19"/>
      <c r="C28" s="288"/>
      <c r="D28" s="289"/>
      <c r="E28" s="290"/>
      <c r="F28" s="291"/>
      <c r="G28" s="292"/>
      <c r="H28" s="293"/>
      <c r="I28" s="294"/>
      <c r="J28" s="295"/>
      <c r="K28" s="296"/>
      <c r="L28" s="297"/>
      <c r="M28" s="298">
        <f t="shared" si="1"/>
        <v>0</v>
      </c>
      <c r="N28" s="299">
        <f t="shared" si="0"/>
        <v>0</v>
      </c>
      <c r="O28" s="308"/>
      <c r="P28" s="300"/>
      <c r="Q28" s="301"/>
      <c r="R28" s="302"/>
      <c r="S28" s="303"/>
      <c r="T28" s="293"/>
      <c r="U28" s="304"/>
      <c r="V28" s="305"/>
      <c r="W28" s="306"/>
      <c r="X28" s="296"/>
      <c r="Y28" s="295"/>
      <c r="Z28" s="307"/>
      <c r="AA28" s="214" t="s">
        <v>205</v>
      </c>
      <c r="AB28" s="192"/>
      <c r="AC28" s="358">
        <v>0.25</v>
      </c>
      <c r="AE28" s="245"/>
      <c r="AF28" s="366" t="s">
        <v>229</v>
      </c>
      <c r="AG28" s="251" t="s">
        <v>124</v>
      </c>
      <c r="AH28" s="247">
        <f>ValEvEbitda*Income!$F13</f>
        <v>3364.1616321394813</v>
      </c>
      <c r="AI28" s="215"/>
      <c r="AJ28" s="215"/>
      <c r="AK28" s="215"/>
      <c r="AL28" s="216"/>
    </row>
    <row r="29" spans="2:38" ht="12.6" customHeight="1" x14ac:dyDescent="0.3">
      <c r="B29" s="19"/>
      <c r="C29" s="288"/>
      <c r="D29" s="289"/>
      <c r="E29" s="290"/>
      <c r="F29" s="291"/>
      <c r="G29" s="292"/>
      <c r="H29" s="293"/>
      <c r="I29" s="294"/>
      <c r="J29" s="295"/>
      <c r="K29" s="296"/>
      <c r="L29" s="297"/>
      <c r="M29" s="298">
        <f t="shared" si="1"/>
        <v>0</v>
      </c>
      <c r="N29" s="299">
        <f t="shared" si="0"/>
        <v>0</v>
      </c>
      <c r="O29" s="308"/>
      <c r="P29" s="300"/>
      <c r="Q29" s="301"/>
      <c r="R29" s="302"/>
      <c r="S29" s="303"/>
      <c r="T29" s="293"/>
      <c r="U29" s="304"/>
      <c r="V29" s="305"/>
      <c r="W29" s="306"/>
      <c r="X29" s="296"/>
      <c r="Y29" s="295"/>
      <c r="Z29" s="307"/>
      <c r="AA29" s="235" t="s">
        <v>232</v>
      </c>
      <c r="AB29" s="194"/>
      <c r="AC29" s="360">
        <v>0.05</v>
      </c>
      <c r="AE29" s="245"/>
      <c r="AF29" s="366"/>
      <c r="AG29" s="252" t="s">
        <v>126</v>
      </c>
      <c r="AH29" s="248">
        <f>ValPE*Income!F23</f>
        <v>2899.7151668539022</v>
      </c>
      <c r="AI29" s="215"/>
      <c r="AJ29" s="215"/>
      <c r="AK29" s="215"/>
      <c r="AL29" s="216"/>
    </row>
    <row r="30" spans="2:38" ht="12.6" customHeight="1" x14ac:dyDescent="0.3">
      <c r="B30" s="19"/>
      <c r="C30" s="288"/>
      <c r="D30" s="289"/>
      <c r="E30" s="290"/>
      <c r="F30" s="291"/>
      <c r="G30" s="292"/>
      <c r="H30" s="293"/>
      <c r="I30" s="294"/>
      <c r="J30" s="295"/>
      <c r="K30" s="296"/>
      <c r="L30" s="297"/>
      <c r="M30" s="298">
        <f t="shared" si="1"/>
        <v>0</v>
      </c>
      <c r="N30" s="299">
        <f t="shared" si="0"/>
        <v>0</v>
      </c>
      <c r="O30" s="308"/>
      <c r="P30" s="300"/>
      <c r="Q30" s="301"/>
      <c r="R30" s="302"/>
      <c r="S30" s="303"/>
      <c r="T30" s="293"/>
      <c r="U30" s="304"/>
      <c r="V30" s="305"/>
      <c r="W30" s="306"/>
      <c r="X30" s="296"/>
      <c r="Y30" s="295"/>
      <c r="Z30" s="292"/>
      <c r="AE30" s="246"/>
      <c r="AF30" s="218"/>
      <c r="AG30" s="218"/>
      <c r="AH30" s="218"/>
      <c r="AI30" s="218"/>
      <c r="AJ30" s="218"/>
      <c r="AK30" s="218"/>
      <c r="AL30" s="219"/>
    </row>
    <row r="31" spans="2:38" ht="12.6" customHeight="1" x14ac:dyDescent="0.3">
      <c r="B31" s="19"/>
      <c r="C31" s="288"/>
      <c r="D31" s="289"/>
      <c r="E31" s="290"/>
      <c r="F31" s="291"/>
      <c r="G31" s="292"/>
      <c r="H31" s="293"/>
      <c r="I31" s="294"/>
      <c r="J31" s="295"/>
      <c r="K31" s="296"/>
      <c r="L31" s="297"/>
      <c r="M31" s="298">
        <f t="shared" si="1"/>
        <v>0</v>
      </c>
      <c r="N31" s="299">
        <f t="shared" si="0"/>
        <v>0</v>
      </c>
      <c r="O31" s="308"/>
      <c r="P31" s="300"/>
      <c r="Q31" s="301"/>
      <c r="R31" s="302"/>
      <c r="S31" s="303"/>
      <c r="T31" s="293"/>
      <c r="U31" s="304"/>
      <c r="V31" s="305"/>
      <c r="W31" s="306"/>
      <c r="X31" s="296"/>
      <c r="Y31" s="295"/>
      <c r="Z31" s="292"/>
      <c r="AE31" s="207"/>
      <c r="AH31" s="208"/>
      <c r="AI31" s="208"/>
      <c r="AJ31" s="207"/>
      <c r="AK31" s="207"/>
      <c r="AL31" s="207"/>
    </row>
    <row r="32" spans="2:38" ht="12.6" customHeight="1" x14ac:dyDescent="0.3">
      <c r="B32" s="19"/>
      <c r="C32" s="288"/>
      <c r="D32" s="289"/>
      <c r="E32" s="290"/>
      <c r="F32" s="291"/>
      <c r="G32" s="292"/>
      <c r="H32" s="293"/>
      <c r="I32" s="294"/>
      <c r="J32" s="295"/>
      <c r="K32" s="296"/>
      <c r="L32" s="297"/>
      <c r="M32" s="298">
        <f t="shared" si="1"/>
        <v>0</v>
      </c>
      <c r="N32" s="299">
        <f t="shared" si="0"/>
        <v>0</v>
      </c>
      <c r="O32" s="308"/>
      <c r="P32" s="300"/>
      <c r="Q32" s="301"/>
      <c r="R32" s="302"/>
      <c r="S32" s="303"/>
      <c r="T32" s="293"/>
      <c r="U32" s="304"/>
      <c r="V32" s="305"/>
      <c r="W32" s="306"/>
      <c r="X32" s="296"/>
      <c r="Y32" s="295"/>
      <c r="Z32" s="292"/>
      <c r="AE32" s="41"/>
      <c r="AF32" s="41"/>
      <c r="AG32" s="41"/>
      <c r="AH32" s="41"/>
      <c r="AI32" s="41"/>
      <c r="AJ32" s="207"/>
      <c r="AK32" s="207"/>
      <c r="AL32" s="207"/>
    </row>
    <row r="33" spans="2:38" ht="12.6" customHeight="1" x14ac:dyDescent="0.3">
      <c r="B33" s="19"/>
      <c r="C33" s="288"/>
      <c r="D33" s="289"/>
      <c r="E33" s="290"/>
      <c r="F33" s="291"/>
      <c r="G33" s="292"/>
      <c r="H33" s="293"/>
      <c r="I33" s="294"/>
      <c r="J33" s="295"/>
      <c r="K33" s="296"/>
      <c r="L33" s="297"/>
      <c r="M33" s="298">
        <f t="shared" si="1"/>
        <v>0</v>
      </c>
      <c r="N33" s="299">
        <f t="shared" si="0"/>
        <v>0</v>
      </c>
      <c r="O33" s="308"/>
      <c r="P33" s="300"/>
      <c r="Q33" s="301"/>
      <c r="R33" s="302"/>
      <c r="S33" s="303"/>
      <c r="T33" s="293"/>
      <c r="U33" s="304"/>
      <c r="V33" s="305"/>
      <c r="W33" s="306"/>
      <c r="X33" s="296"/>
      <c r="Y33" s="295"/>
      <c r="Z33" s="292"/>
      <c r="AE33" s="41"/>
      <c r="AF33" s="41"/>
      <c r="AG33" s="41"/>
      <c r="AH33" s="41"/>
      <c r="AI33" s="41"/>
    </row>
    <row r="34" spans="2:38" ht="12.6" customHeight="1" x14ac:dyDescent="0.3">
      <c r="B34" s="19"/>
      <c r="C34" s="288"/>
      <c r="D34" s="289"/>
      <c r="E34" s="290"/>
      <c r="F34" s="291"/>
      <c r="G34" s="292"/>
      <c r="H34" s="293"/>
      <c r="I34" s="294"/>
      <c r="J34" s="295"/>
      <c r="K34" s="296"/>
      <c r="L34" s="297"/>
      <c r="M34" s="298">
        <f t="shared" si="1"/>
        <v>0</v>
      </c>
      <c r="N34" s="299">
        <f t="shared" si="0"/>
        <v>0</v>
      </c>
      <c r="O34" s="308"/>
      <c r="P34" s="300"/>
      <c r="Q34" s="301"/>
      <c r="R34" s="302"/>
      <c r="S34" s="303"/>
      <c r="T34" s="293"/>
      <c r="U34" s="304"/>
      <c r="V34" s="305"/>
      <c r="W34" s="306"/>
      <c r="X34" s="296"/>
      <c r="Y34" s="295"/>
      <c r="Z34" s="292"/>
      <c r="AE34" s="41"/>
      <c r="AF34" s="41"/>
      <c r="AG34" s="41"/>
      <c r="AH34" s="41"/>
      <c r="AI34" s="41"/>
      <c r="AJ34" s="207"/>
      <c r="AK34" s="207"/>
      <c r="AL34" s="207"/>
    </row>
    <row r="35" spans="2:38" ht="12.6" customHeight="1" x14ac:dyDescent="0.3">
      <c r="B35" s="19"/>
      <c r="C35" s="309"/>
      <c r="D35" s="310"/>
      <c r="E35" s="311"/>
      <c r="F35" s="312"/>
      <c r="G35" s="313"/>
      <c r="H35" s="314"/>
      <c r="I35" s="315"/>
      <c r="J35" s="316"/>
      <c r="K35" s="317"/>
      <c r="L35" s="318"/>
      <c r="M35" s="319">
        <f t="shared" si="1"/>
        <v>0</v>
      </c>
      <c r="N35" s="320">
        <f t="shared" si="0"/>
        <v>0</v>
      </c>
      <c r="O35" s="321"/>
      <c r="P35" s="322"/>
      <c r="Q35" s="323"/>
      <c r="R35" s="324"/>
      <c r="S35" s="325"/>
      <c r="T35" s="314"/>
      <c r="U35" s="326"/>
      <c r="V35" s="327"/>
      <c r="W35" s="328"/>
      <c r="X35" s="317"/>
      <c r="Y35" s="316"/>
      <c r="Z35" s="313"/>
      <c r="AE35" s="41"/>
      <c r="AF35" s="41"/>
      <c r="AG35" s="41"/>
      <c r="AH35" s="41"/>
      <c r="AI35" s="41"/>
      <c r="AJ35" s="207"/>
      <c r="AK35" s="207"/>
      <c r="AL35" s="207"/>
    </row>
  </sheetData>
  <sheetProtection algorithmName="SHA-512" hashValue="nQo8xRiCLExNuQKBUowyhNfg/WQRd49S5fK0oLwmrtoxYVvlJr6u1bguf3Ahojyw40C+69IOJhfAThFaf5mg8Q==" saltValue="otDCPS4N4UEFXYwEmBnC1w==" spinCount="100000" sheet="1" objects="1" scenarios="1" selectLockedCells="1"/>
  <mergeCells count="14">
    <mergeCell ref="AF25:AF26"/>
    <mergeCell ref="AF28:AF29"/>
    <mergeCell ref="AF4:AK4"/>
    <mergeCell ref="AA15:AC15"/>
    <mergeCell ref="AA10:AC10"/>
    <mergeCell ref="AA5:AC5"/>
    <mergeCell ref="AA19:AC19"/>
    <mergeCell ref="AA22:AC22"/>
    <mergeCell ref="H4:L4"/>
    <mergeCell ref="C4:G4"/>
    <mergeCell ref="T4:V4"/>
    <mergeCell ref="W4:Z4"/>
    <mergeCell ref="AA4:AC4"/>
    <mergeCell ref="O4:S4"/>
  </mergeCells>
  <conditionalFormatting sqref="C7:C35">
    <cfRule type="expression" dxfId="7" priority="4">
      <formula>IF(AND(NOT(ISBLANK(C7)),MAX(C8:$C$35)&gt;0,C7&gt;=MAX(C8:$C$35)),TRUE,FALSE)</formula>
    </cfRule>
  </conditionalFormatting>
  <conditionalFormatting sqref="L6:L35">
    <cfRule type="expression" dxfId="6" priority="14">
      <formula>IF(AND(L6&lt;&gt;0,OR(H6="Land",I6="Land")),TRUE,FALSE)</formula>
    </cfRule>
  </conditionalFormatting>
  <conditionalFormatting sqref="AB7:AB8">
    <cfRule type="expression" dxfId="5" priority="15">
      <formula>IF(SUM($AB$7:$AB$8)&lt;&gt;1,TRUE,FALSE)</formula>
    </cfRule>
  </conditionalFormatting>
  <conditionalFormatting sqref="AC7:AC8">
    <cfRule type="expression" dxfId="4" priority="16">
      <formula>IF(SUM($AC$7:$AC$8)&lt;&gt;1,TRUE,FALSE)</formula>
    </cfRule>
  </conditionalFormatting>
  <dataValidations disablePrompts="1" count="9">
    <dataValidation type="custom" showInputMessage="1" showErrorMessage="1" error="Land does not depreciate; leave empty" sqref="L6:L11" xr:uid="{87104B2D-AE5F-4E77-BD33-51EEDB8DA911}">
      <formula1>IF(OR(H6="land",H6="Land", I6="land", I6="Land"),FALSE,TRUE)</formula1>
    </dataValidation>
    <dataValidation type="decimal" operator="greaterThanOrEqual" allowBlank="1" showInputMessage="1" showErrorMessage="1" error="Enter a purchase amount &gt;=1 (in thousands)" sqref="K6:K11" xr:uid="{D763E33E-8716-4D52-964E-6BE3304F38F1}">
      <formula1>1</formula1>
    </dataValidation>
    <dataValidation type="whole" allowBlank="1" showInputMessage="1" showErrorMessage="1" error="Enter a purchase month number between 1 and 60" sqref="J6:J11" xr:uid="{2D6D9645-08F7-449B-B1E4-BAB46E3A82EF}">
      <formula1>1</formula1>
      <formula2>60</formula2>
    </dataValidation>
    <dataValidation type="decimal" allowBlank="1" showInputMessage="1" showErrorMessage="1" error="Enter a number between 0 and 100%" sqref="G7:G35 AC20 AD17" xr:uid="{F0BFCDDF-2106-435F-B862-5E8F88B81EC9}">
      <formula1>0</formula1>
      <formula2>1</formula2>
    </dataValidation>
    <dataValidation type="list" errorStyle="warning" showErrorMessage="1" error="Please select from dropdown menu" sqref="I6:I35" xr:uid="{E6486B92-44B9-4C2E-A7E4-30D8F534ED56}">
      <formula1>"Facility,Equip,Fixture,Intang,Land,Other"</formula1>
    </dataValidation>
    <dataValidation type="custom" showErrorMessage="1" error="Land does not depreciate_x000a_Leave cell empty" sqref="L12:L35" xr:uid="{085EB477-4315-48C9-A55D-B2EA2EF34565}">
      <formula1>IF(AND(L12&lt;&gt;0,OR(H12="Land",I12="Land")),FALSE,TRUE)</formula1>
    </dataValidation>
    <dataValidation type="custom" showInputMessage="1" showErrorMessage="1" error="Enter a salvage month to continue" sqref="L12:L35" xr:uid="{F50377E9-A4BB-48D8-B5AA-C87A9AA658F7}">
      <formula1>#REF!&gt;0</formula1>
    </dataValidation>
    <dataValidation type="custom" showErrorMessage="1" error="Land does not depreciate_x000a_Clear &quot;Depreciation Months&quot; and re-enter" sqref="H6:H35" xr:uid="{7D9CFB1B-6C8E-430C-B963-164A9C0EA875}">
      <formula1>IF(AND(L6&lt;&gt;0,H6="Land"),FALSE,TRUE)</formula1>
    </dataValidation>
    <dataValidation type="custom" allowBlank="1" showInputMessage="1" showErrorMessage="1" error="Month out of order" sqref="C7:C35" xr:uid="{D5F6F9A8-A962-4395-A979-FFFD022737C4}">
      <formula1>IF(OR(C7=0,C7&gt;60,C7&lt;=MAX(C$6:C6)),FALSE,TRUE)</formula1>
    </dataValidation>
  </dataValidations>
  <printOptions horizontalCentered="1"/>
  <pageMargins left="0.5" right="0.5" top="0.75" bottom="0.5" header="0.3" footer="0.3"/>
  <pageSetup scale="85" fitToHeight="2" orientation="landscape" r:id="rId1"/>
  <headerFooter scaleWithDoc="0" alignWithMargins="0">
    <oddFooter>&amp;L&amp;10Drivers, p.&amp;P of &amp;N&amp;R&amp;10Updated &amp;D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20738-BC18-4E17-B349-31ECD0D5FBC4}">
  <sheetPr codeName="Sheet4">
    <tabColor theme="5" tint="0.79998168889431442"/>
    <outlinePr showOutlineSymbols="0"/>
    <pageSetUpPr fitToPage="1"/>
  </sheetPr>
  <dimension ref="A1:BR35"/>
  <sheetViews>
    <sheetView showGridLines="0" showRowColHeaders="0" showZeros="0" showOutlineSymbols="0" zoomScaleNormal="100" workbookViewId="0">
      <pane xSplit="3" ySplit="3" topLeftCell="D4" activePane="bottomRight" state="frozen"/>
      <selection activeCell="A2" sqref="A2:A3"/>
      <selection pane="topRight" activeCell="A2" sqref="A2:A3"/>
      <selection pane="bottomLeft" activeCell="A2" sqref="A2:A3"/>
      <selection pane="bottomRight"/>
    </sheetView>
  </sheetViews>
  <sheetFormatPr defaultColWidth="9.109375" defaultRowHeight="12.6" x14ac:dyDescent="0.25"/>
  <cols>
    <col min="1" max="1" width="3" style="13" customWidth="1"/>
    <col min="2" max="2" width="1.6640625" style="13" customWidth="1"/>
    <col min="3" max="3" width="21.88671875" style="14" customWidth="1"/>
    <col min="4" max="4" width="1.109375" style="16" customWidth="1"/>
    <col min="5" max="5" width="8.33203125" style="16" customWidth="1"/>
    <col min="6" max="9" width="8.33203125" style="16" customWidth="1" collapsed="1"/>
    <col min="10" max="10" width="2.21875" style="40" customWidth="1"/>
    <col min="11" max="70" width="8.33203125" style="16" customWidth="1"/>
    <col min="71" max="16384" width="9.109375" style="14"/>
  </cols>
  <sheetData>
    <row r="1" spans="1:70" s="2" customFormat="1" ht="10.199999999999999" x14ac:dyDescent="0.2">
      <c r="A1" s="1" t="s">
        <v>0</v>
      </c>
      <c r="N1" s="3"/>
      <c r="R1" s="4"/>
      <c r="T1" s="4"/>
    </row>
    <row r="2" spans="1:70" s="5" customFormat="1" ht="21" customHeight="1" x14ac:dyDescent="0.2">
      <c r="B2" s="41"/>
      <c r="D2" s="36"/>
      <c r="E2" s="36"/>
      <c r="F2" s="36"/>
      <c r="G2" s="36"/>
      <c r="H2" s="36"/>
      <c r="I2" s="36"/>
      <c r="J2" s="36"/>
    </row>
    <row r="3" spans="1:70" ht="19.8" x14ac:dyDescent="0.4">
      <c r="A3" s="37"/>
      <c r="B3" s="14"/>
      <c r="C3" s="7" t="s">
        <v>92</v>
      </c>
      <c r="D3" s="39"/>
      <c r="E3" s="46">
        <v>1</v>
      </c>
      <c r="F3" s="46">
        <v>2</v>
      </c>
      <c r="G3" s="46">
        <v>3</v>
      </c>
      <c r="H3" s="46">
        <v>4</v>
      </c>
      <c r="I3" s="46">
        <v>5</v>
      </c>
      <c r="J3" s="105"/>
      <c r="K3" s="11">
        <v>1</v>
      </c>
      <c r="L3" s="11">
        <v>2</v>
      </c>
      <c r="M3" s="11">
        <v>3</v>
      </c>
      <c r="N3" s="11">
        <v>4</v>
      </c>
      <c r="O3" s="11">
        <v>5</v>
      </c>
      <c r="P3" s="11">
        <v>6</v>
      </c>
      <c r="Q3" s="11">
        <v>7</v>
      </c>
      <c r="R3" s="11">
        <v>8</v>
      </c>
      <c r="S3" s="11">
        <v>9</v>
      </c>
      <c r="T3" s="11">
        <v>10</v>
      </c>
      <c r="U3" s="11">
        <v>11</v>
      </c>
      <c r="V3" s="47">
        <v>12</v>
      </c>
      <c r="W3" s="11">
        <v>13</v>
      </c>
      <c r="X3" s="11">
        <v>14</v>
      </c>
      <c r="Y3" s="11">
        <v>15</v>
      </c>
      <c r="Z3" s="11">
        <v>16</v>
      </c>
      <c r="AA3" s="11">
        <v>17</v>
      </c>
      <c r="AB3" s="11">
        <v>18</v>
      </c>
      <c r="AC3" s="11">
        <v>19</v>
      </c>
      <c r="AD3" s="11">
        <v>20</v>
      </c>
      <c r="AE3" s="11">
        <v>21</v>
      </c>
      <c r="AF3" s="11">
        <v>22</v>
      </c>
      <c r="AG3" s="11">
        <v>23</v>
      </c>
      <c r="AH3" s="47">
        <v>24</v>
      </c>
      <c r="AI3" s="11">
        <v>25</v>
      </c>
      <c r="AJ3" s="11">
        <v>26</v>
      </c>
      <c r="AK3" s="11">
        <v>27</v>
      </c>
      <c r="AL3" s="11">
        <v>28</v>
      </c>
      <c r="AM3" s="11">
        <v>29</v>
      </c>
      <c r="AN3" s="11">
        <v>30</v>
      </c>
      <c r="AO3" s="11">
        <v>31</v>
      </c>
      <c r="AP3" s="11">
        <v>32</v>
      </c>
      <c r="AQ3" s="11">
        <v>33</v>
      </c>
      <c r="AR3" s="11">
        <v>34</v>
      </c>
      <c r="AS3" s="11">
        <v>35</v>
      </c>
      <c r="AT3" s="47">
        <v>36</v>
      </c>
      <c r="AU3" s="11">
        <v>37</v>
      </c>
      <c r="AV3" s="11">
        <v>38</v>
      </c>
      <c r="AW3" s="11">
        <v>39</v>
      </c>
      <c r="AX3" s="11">
        <v>40</v>
      </c>
      <c r="AY3" s="11">
        <v>41</v>
      </c>
      <c r="AZ3" s="11">
        <v>42</v>
      </c>
      <c r="BA3" s="11">
        <v>43</v>
      </c>
      <c r="BB3" s="11">
        <v>44</v>
      </c>
      <c r="BC3" s="11">
        <v>45</v>
      </c>
      <c r="BD3" s="11">
        <v>46</v>
      </c>
      <c r="BE3" s="11">
        <v>47</v>
      </c>
      <c r="BF3" s="47">
        <v>48</v>
      </c>
      <c r="BG3" s="11">
        <v>49</v>
      </c>
      <c r="BH3" s="11">
        <v>50</v>
      </c>
      <c r="BI3" s="11">
        <v>51</v>
      </c>
      <c r="BJ3" s="11">
        <v>52</v>
      </c>
      <c r="BK3" s="11">
        <v>53</v>
      </c>
      <c r="BL3" s="11">
        <v>54</v>
      </c>
      <c r="BM3" s="11">
        <v>55</v>
      </c>
      <c r="BN3" s="11">
        <v>56</v>
      </c>
      <c r="BO3" s="11">
        <v>57</v>
      </c>
      <c r="BP3" s="11">
        <v>58</v>
      </c>
      <c r="BQ3" s="11">
        <v>59</v>
      </c>
      <c r="BR3" s="47">
        <v>60</v>
      </c>
    </row>
    <row r="4" spans="1:70" ht="6" customHeight="1" x14ac:dyDescent="0.25">
      <c r="B4" s="79"/>
      <c r="D4" s="14"/>
      <c r="E4" s="48"/>
      <c r="F4" s="48"/>
      <c r="G4" s="48"/>
      <c r="H4" s="48"/>
      <c r="I4" s="48"/>
      <c r="J4" s="88"/>
      <c r="V4" s="48"/>
      <c r="AH4" s="48"/>
      <c r="AT4" s="48"/>
      <c r="BF4" s="48"/>
      <c r="BR4" s="48"/>
    </row>
    <row r="5" spans="1:70" ht="13.2" x14ac:dyDescent="0.3">
      <c r="C5" s="61" t="s">
        <v>93</v>
      </c>
      <c r="D5" s="14"/>
      <c r="E5" s="176">
        <f t="shared" ref="E5:E11" si="0">SUM(K5:V5)</f>
        <v>0</v>
      </c>
      <c r="F5" s="176">
        <f t="shared" ref="F5:F11" si="1">SUM(W5:AH5)</f>
        <v>0</v>
      </c>
      <c r="G5" s="176">
        <f t="shared" ref="G5:G11" si="2">SUM(AI5:AT5)</f>
        <v>0</v>
      </c>
      <c r="H5" s="176">
        <f t="shared" ref="H5:H11" si="3">SUM(AU5:BF5)</f>
        <v>0</v>
      </c>
      <c r="I5" s="176">
        <f t="shared" ref="I5:I11" si="4">SUM(BG5:BR5)</f>
        <v>0</v>
      </c>
      <c r="J5" s="129"/>
      <c r="K5" s="130" cm="1">
        <f t="array" ref="K5">SUMPRODUCT(($C5=CapexCategory)*(K$3=CapexMonth)*CapexAmount)</f>
        <v>0</v>
      </c>
      <c r="L5" s="130" cm="1">
        <f t="array" ref="L5">SUMPRODUCT(($C5=CapexCategory)*(L$3=CapexMonth)*CapexAmount)</f>
        <v>0</v>
      </c>
      <c r="M5" s="130" cm="1">
        <f t="array" ref="M5">SUMPRODUCT(($C5=CapexCategory)*(M$3=CapexMonth)*CapexAmount)</f>
        <v>0</v>
      </c>
      <c r="N5" s="130" cm="1">
        <f t="array" ref="N5">SUMPRODUCT(($C5=CapexCategory)*(N$3=CapexMonth)*CapexAmount)</f>
        <v>0</v>
      </c>
      <c r="O5" s="130" cm="1">
        <f t="array" ref="O5">SUMPRODUCT(($C5=CapexCategory)*(O$3=CapexMonth)*CapexAmount)</f>
        <v>0</v>
      </c>
      <c r="P5" s="130" cm="1">
        <f t="array" ref="P5">SUMPRODUCT(($C5=CapexCategory)*(P$3=CapexMonth)*CapexAmount)</f>
        <v>0</v>
      </c>
      <c r="Q5" s="130" cm="1">
        <f t="array" ref="Q5">SUMPRODUCT(($C5=CapexCategory)*(Q$3=CapexMonth)*CapexAmount)</f>
        <v>0</v>
      </c>
      <c r="R5" s="130" cm="1">
        <f t="array" ref="R5">SUMPRODUCT(($C5=CapexCategory)*(R$3=CapexMonth)*CapexAmount)</f>
        <v>0</v>
      </c>
      <c r="S5" s="130" cm="1">
        <f t="array" ref="S5">SUMPRODUCT(($C5=CapexCategory)*(S$3=CapexMonth)*CapexAmount)</f>
        <v>0</v>
      </c>
      <c r="T5" s="130" cm="1">
        <f t="array" ref="T5">SUMPRODUCT(($C5=CapexCategory)*(T$3=CapexMonth)*CapexAmount)</f>
        <v>0</v>
      </c>
      <c r="U5" s="130" cm="1">
        <f t="array" ref="U5">SUMPRODUCT(($C5=CapexCategory)*(U$3=CapexMonth)*CapexAmount)</f>
        <v>0</v>
      </c>
      <c r="V5" s="128" cm="1">
        <f t="array" ref="V5">SUMPRODUCT(($C5=CapexCategory)*(V$3=CapexMonth)*CapexAmount)</f>
        <v>0</v>
      </c>
      <c r="W5" s="130" cm="1">
        <f t="array" ref="W5">SUMPRODUCT(($C5=CapexCategory)*(W$3=CapexMonth)*CapexAmount)</f>
        <v>0</v>
      </c>
      <c r="X5" s="130" cm="1">
        <f t="array" ref="X5">SUMPRODUCT(($C5=CapexCategory)*(X$3=CapexMonth)*CapexAmount)</f>
        <v>0</v>
      </c>
      <c r="Y5" s="130" cm="1">
        <f t="array" ref="Y5">SUMPRODUCT(($C5=CapexCategory)*(Y$3=CapexMonth)*CapexAmount)</f>
        <v>0</v>
      </c>
      <c r="Z5" s="130" cm="1">
        <f t="array" ref="Z5">SUMPRODUCT(($C5=CapexCategory)*(Z$3=CapexMonth)*CapexAmount)</f>
        <v>0</v>
      </c>
      <c r="AA5" s="130" cm="1">
        <f t="array" ref="AA5">SUMPRODUCT(($C5=CapexCategory)*(AA$3=CapexMonth)*CapexAmount)</f>
        <v>0</v>
      </c>
      <c r="AB5" s="130" cm="1">
        <f t="array" ref="AB5">SUMPRODUCT(($C5=CapexCategory)*(AB$3=CapexMonth)*CapexAmount)</f>
        <v>0</v>
      </c>
      <c r="AC5" s="130" cm="1">
        <f t="array" ref="AC5">SUMPRODUCT(($C5=CapexCategory)*(AC$3=CapexMonth)*CapexAmount)</f>
        <v>0</v>
      </c>
      <c r="AD5" s="130" cm="1">
        <f t="array" ref="AD5">SUMPRODUCT(($C5=CapexCategory)*(AD$3=CapexMonth)*CapexAmount)</f>
        <v>0</v>
      </c>
      <c r="AE5" s="130" cm="1">
        <f t="array" ref="AE5">SUMPRODUCT(($C5=CapexCategory)*(AE$3=CapexMonth)*CapexAmount)</f>
        <v>0</v>
      </c>
      <c r="AF5" s="130" cm="1">
        <f t="array" ref="AF5">SUMPRODUCT(($C5=CapexCategory)*(AF$3=CapexMonth)*CapexAmount)</f>
        <v>0</v>
      </c>
      <c r="AG5" s="130" cm="1">
        <f t="array" ref="AG5">SUMPRODUCT(($C5=CapexCategory)*(AG$3=CapexMonth)*CapexAmount)</f>
        <v>0</v>
      </c>
      <c r="AH5" s="128" cm="1">
        <f t="array" ref="AH5">SUMPRODUCT(($C5=CapexCategory)*(AH$3=CapexMonth)*CapexAmount)</f>
        <v>0</v>
      </c>
      <c r="AI5" s="130" cm="1">
        <f t="array" ref="AI5">SUMPRODUCT(($C5=CapexCategory)*(AI$3=CapexMonth)*CapexAmount)</f>
        <v>0</v>
      </c>
      <c r="AJ5" s="130" cm="1">
        <f t="array" ref="AJ5">SUMPRODUCT(($C5=CapexCategory)*(AJ$3=CapexMonth)*CapexAmount)</f>
        <v>0</v>
      </c>
      <c r="AK5" s="130" cm="1">
        <f t="array" ref="AK5">SUMPRODUCT(($C5=CapexCategory)*(AK$3=CapexMonth)*CapexAmount)</f>
        <v>0</v>
      </c>
      <c r="AL5" s="130" cm="1">
        <f t="array" ref="AL5">SUMPRODUCT(($C5=CapexCategory)*(AL$3=CapexMonth)*CapexAmount)</f>
        <v>0</v>
      </c>
      <c r="AM5" s="130" cm="1">
        <f t="array" ref="AM5">SUMPRODUCT(($C5=CapexCategory)*(AM$3=CapexMonth)*CapexAmount)</f>
        <v>0</v>
      </c>
      <c r="AN5" s="130" cm="1">
        <f t="array" ref="AN5">SUMPRODUCT(($C5=CapexCategory)*(AN$3=CapexMonth)*CapexAmount)</f>
        <v>0</v>
      </c>
      <c r="AO5" s="130" cm="1">
        <f t="array" ref="AO5">SUMPRODUCT(($C5=CapexCategory)*(AO$3=CapexMonth)*CapexAmount)</f>
        <v>0</v>
      </c>
      <c r="AP5" s="130" cm="1">
        <f t="array" ref="AP5">SUMPRODUCT(($C5=CapexCategory)*(AP$3=CapexMonth)*CapexAmount)</f>
        <v>0</v>
      </c>
      <c r="AQ5" s="130" cm="1">
        <f t="array" ref="AQ5">SUMPRODUCT(($C5=CapexCategory)*(AQ$3=CapexMonth)*CapexAmount)</f>
        <v>0</v>
      </c>
      <c r="AR5" s="130" cm="1">
        <f t="array" ref="AR5">SUMPRODUCT(($C5=CapexCategory)*(AR$3=CapexMonth)*CapexAmount)</f>
        <v>0</v>
      </c>
      <c r="AS5" s="130" cm="1">
        <f t="array" ref="AS5">SUMPRODUCT(($C5=CapexCategory)*(AS$3=CapexMonth)*CapexAmount)</f>
        <v>0</v>
      </c>
      <c r="AT5" s="128" cm="1">
        <f t="array" ref="AT5">SUMPRODUCT(($C5=CapexCategory)*(AT$3=CapexMonth)*CapexAmount)</f>
        <v>0</v>
      </c>
      <c r="AU5" s="130" cm="1">
        <f t="array" ref="AU5">SUMPRODUCT(($C5=CapexCategory)*(AU$3=CapexMonth)*CapexAmount)</f>
        <v>0</v>
      </c>
      <c r="AV5" s="130" cm="1">
        <f t="array" ref="AV5">SUMPRODUCT(($C5=CapexCategory)*(AV$3=CapexMonth)*CapexAmount)</f>
        <v>0</v>
      </c>
      <c r="AW5" s="130" cm="1">
        <f t="array" ref="AW5">SUMPRODUCT(($C5=CapexCategory)*(AW$3=CapexMonth)*CapexAmount)</f>
        <v>0</v>
      </c>
      <c r="AX5" s="130" cm="1">
        <f t="array" ref="AX5">SUMPRODUCT(($C5=CapexCategory)*(AX$3=CapexMonth)*CapexAmount)</f>
        <v>0</v>
      </c>
      <c r="AY5" s="130" cm="1">
        <f t="array" ref="AY5">SUMPRODUCT(($C5=CapexCategory)*(AY$3=CapexMonth)*CapexAmount)</f>
        <v>0</v>
      </c>
      <c r="AZ5" s="130" cm="1">
        <f t="array" ref="AZ5">SUMPRODUCT(($C5=CapexCategory)*(AZ$3=CapexMonth)*CapexAmount)</f>
        <v>0</v>
      </c>
      <c r="BA5" s="130" cm="1">
        <f t="array" ref="BA5">SUMPRODUCT(($C5=CapexCategory)*(BA$3=CapexMonth)*CapexAmount)</f>
        <v>0</v>
      </c>
      <c r="BB5" s="130" cm="1">
        <f t="array" ref="BB5">SUMPRODUCT(($C5=CapexCategory)*(BB$3=CapexMonth)*CapexAmount)</f>
        <v>0</v>
      </c>
      <c r="BC5" s="130" cm="1">
        <f t="array" ref="BC5">SUMPRODUCT(($C5=CapexCategory)*(BC$3=CapexMonth)*CapexAmount)</f>
        <v>0</v>
      </c>
      <c r="BD5" s="130" cm="1">
        <f t="array" ref="BD5">SUMPRODUCT(($C5=CapexCategory)*(BD$3=CapexMonth)*CapexAmount)</f>
        <v>0</v>
      </c>
      <c r="BE5" s="130" cm="1">
        <f t="array" ref="BE5">SUMPRODUCT(($C5=CapexCategory)*(BE$3=CapexMonth)*CapexAmount)</f>
        <v>0</v>
      </c>
      <c r="BF5" s="128" cm="1">
        <f t="array" ref="BF5">SUMPRODUCT(($C5=CapexCategory)*(BF$3=CapexMonth)*CapexAmount)</f>
        <v>0</v>
      </c>
      <c r="BG5" s="130" cm="1">
        <f t="array" ref="BG5">SUMPRODUCT(($C5=CapexCategory)*(BG$3=CapexMonth)*CapexAmount)</f>
        <v>0</v>
      </c>
      <c r="BH5" s="130" cm="1">
        <f t="array" ref="BH5">SUMPRODUCT(($C5=CapexCategory)*(BH$3=CapexMonth)*CapexAmount)</f>
        <v>0</v>
      </c>
      <c r="BI5" s="130" cm="1">
        <f t="array" ref="BI5">SUMPRODUCT(($C5=CapexCategory)*(BI$3=CapexMonth)*CapexAmount)</f>
        <v>0</v>
      </c>
      <c r="BJ5" s="130" cm="1">
        <f t="array" ref="BJ5">SUMPRODUCT(($C5=CapexCategory)*(BJ$3=CapexMonth)*CapexAmount)</f>
        <v>0</v>
      </c>
      <c r="BK5" s="130" cm="1">
        <f t="array" ref="BK5">SUMPRODUCT(($C5=CapexCategory)*(BK$3=CapexMonth)*CapexAmount)</f>
        <v>0</v>
      </c>
      <c r="BL5" s="130" cm="1">
        <f t="array" ref="BL5">SUMPRODUCT(($C5=CapexCategory)*(BL$3=CapexMonth)*CapexAmount)</f>
        <v>0</v>
      </c>
      <c r="BM5" s="130" cm="1">
        <f t="array" ref="BM5">SUMPRODUCT(($C5=CapexCategory)*(BM$3=CapexMonth)*CapexAmount)</f>
        <v>0</v>
      </c>
      <c r="BN5" s="130" cm="1">
        <f t="array" ref="BN5">SUMPRODUCT(($C5=CapexCategory)*(BN$3=CapexMonth)*CapexAmount)</f>
        <v>0</v>
      </c>
      <c r="BO5" s="130" cm="1">
        <f t="array" ref="BO5">SUMPRODUCT(($C5=CapexCategory)*(BO$3=CapexMonth)*CapexAmount)</f>
        <v>0</v>
      </c>
      <c r="BP5" s="130" cm="1">
        <f t="array" ref="BP5">SUMPRODUCT(($C5=CapexCategory)*(BP$3=CapexMonth)*CapexAmount)</f>
        <v>0</v>
      </c>
      <c r="BQ5" s="130" cm="1">
        <f t="array" ref="BQ5">SUMPRODUCT(($C5=CapexCategory)*(BQ$3=CapexMonth)*CapexAmount)</f>
        <v>0</v>
      </c>
      <c r="BR5" s="128" cm="1">
        <f t="array" ref="BR5">SUMPRODUCT(($C5=CapexCategory)*(BR$3=CapexMonth)*CapexAmount)</f>
        <v>0</v>
      </c>
    </row>
    <row r="6" spans="1:70" ht="13.2" x14ac:dyDescent="0.3">
      <c r="C6" s="61" t="s">
        <v>94</v>
      </c>
      <c r="D6" s="14"/>
      <c r="E6" s="176">
        <f t="shared" si="0"/>
        <v>4</v>
      </c>
      <c r="F6" s="176">
        <f t="shared" si="1"/>
        <v>0</v>
      </c>
      <c r="G6" s="176">
        <f t="shared" si="2"/>
        <v>0</v>
      </c>
      <c r="H6" s="176">
        <f t="shared" si="3"/>
        <v>0</v>
      </c>
      <c r="I6" s="176">
        <f t="shared" si="4"/>
        <v>0</v>
      </c>
      <c r="J6" s="129"/>
      <c r="K6" s="130" cm="1">
        <f t="array" ref="K6">SUMPRODUCT(($C6=CapexCategory)*(K$3=CapexMonth)*CapexAmount)</f>
        <v>4</v>
      </c>
      <c r="L6" s="130" cm="1">
        <f t="array" ref="L6">SUMPRODUCT(($C6=CapexCategory)*(L$3=CapexMonth)*CapexAmount)</f>
        <v>0</v>
      </c>
      <c r="M6" s="130" cm="1">
        <f t="array" ref="M6">SUMPRODUCT(($C6=CapexCategory)*(M$3=CapexMonth)*CapexAmount)</f>
        <v>0</v>
      </c>
      <c r="N6" s="130" cm="1">
        <f t="array" ref="N6">SUMPRODUCT(($C6=CapexCategory)*(N$3=CapexMonth)*CapexAmount)</f>
        <v>0</v>
      </c>
      <c r="O6" s="130" cm="1">
        <f t="array" ref="O6">SUMPRODUCT(($C6=CapexCategory)*(O$3=CapexMonth)*CapexAmount)</f>
        <v>0</v>
      </c>
      <c r="P6" s="130" cm="1">
        <f t="array" ref="P6">SUMPRODUCT(($C6=CapexCategory)*(P$3=CapexMonth)*CapexAmount)</f>
        <v>0</v>
      </c>
      <c r="Q6" s="130" cm="1">
        <f t="array" ref="Q6">SUMPRODUCT(($C6=CapexCategory)*(Q$3=CapexMonth)*CapexAmount)</f>
        <v>0</v>
      </c>
      <c r="R6" s="130" cm="1">
        <f t="array" ref="R6">SUMPRODUCT(($C6=CapexCategory)*(R$3=CapexMonth)*CapexAmount)</f>
        <v>0</v>
      </c>
      <c r="S6" s="130" cm="1">
        <f t="array" ref="S6">SUMPRODUCT(($C6=CapexCategory)*(S$3=CapexMonth)*CapexAmount)</f>
        <v>0</v>
      </c>
      <c r="T6" s="130" cm="1">
        <f t="array" ref="T6">SUMPRODUCT(($C6=CapexCategory)*(T$3=CapexMonth)*CapexAmount)</f>
        <v>0</v>
      </c>
      <c r="U6" s="130" cm="1">
        <f t="array" ref="U6">SUMPRODUCT(($C6=CapexCategory)*(U$3=CapexMonth)*CapexAmount)</f>
        <v>0</v>
      </c>
      <c r="V6" s="128" cm="1">
        <f t="array" ref="V6">SUMPRODUCT(($C6=CapexCategory)*(V$3=CapexMonth)*CapexAmount)</f>
        <v>0</v>
      </c>
      <c r="W6" s="130" cm="1">
        <f t="array" ref="W6">SUMPRODUCT(($C6=CapexCategory)*(W$3=CapexMonth)*CapexAmount)</f>
        <v>0</v>
      </c>
      <c r="X6" s="130" cm="1">
        <f t="array" ref="X6">SUMPRODUCT(($C6=CapexCategory)*(X$3=CapexMonth)*CapexAmount)</f>
        <v>0</v>
      </c>
      <c r="Y6" s="130" cm="1">
        <f t="array" ref="Y6">SUMPRODUCT(($C6=CapexCategory)*(Y$3=CapexMonth)*CapexAmount)</f>
        <v>0</v>
      </c>
      <c r="Z6" s="130" cm="1">
        <f t="array" ref="Z6">SUMPRODUCT(($C6=CapexCategory)*(Z$3=CapexMonth)*CapexAmount)</f>
        <v>0</v>
      </c>
      <c r="AA6" s="130" cm="1">
        <f t="array" ref="AA6">SUMPRODUCT(($C6=CapexCategory)*(AA$3=CapexMonth)*CapexAmount)</f>
        <v>0</v>
      </c>
      <c r="AB6" s="130" cm="1">
        <f t="array" ref="AB6">SUMPRODUCT(($C6=CapexCategory)*(AB$3=CapexMonth)*CapexAmount)</f>
        <v>0</v>
      </c>
      <c r="AC6" s="130" cm="1">
        <f t="array" ref="AC6">SUMPRODUCT(($C6=CapexCategory)*(AC$3=CapexMonth)*CapexAmount)</f>
        <v>0</v>
      </c>
      <c r="AD6" s="130" cm="1">
        <f t="array" ref="AD6">SUMPRODUCT(($C6=CapexCategory)*(AD$3=CapexMonth)*CapexAmount)</f>
        <v>0</v>
      </c>
      <c r="AE6" s="130" cm="1">
        <f t="array" ref="AE6">SUMPRODUCT(($C6=CapexCategory)*(AE$3=CapexMonth)*CapexAmount)</f>
        <v>0</v>
      </c>
      <c r="AF6" s="130" cm="1">
        <f t="array" ref="AF6">SUMPRODUCT(($C6=CapexCategory)*(AF$3=CapexMonth)*CapexAmount)</f>
        <v>0</v>
      </c>
      <c r="AG6" s="130" cm="1">
        <f t="array" ref="AG6">SUMPRODUCT(($C6=CapexCategory)*(AG$3=CapexMonth)*CapexAmount)</f>
        <v>0</v>
      </c>
      <c r="AH6" s="128" cm="1">
        <f t="array" ref="AH6">SUMPRODUCT(($C6=CapexCategory)*(AH$3=CapexMonth)*CapexAmount)</f>
        <v>0</v>
      </c>
      <c r="AI6" s="130" cm="1">
        <f t="array" ref="AI6">SUMPRODUCT(($C6=CapexCategory)*(AI$3=CapexMonth)*CapexAmount)</f>
        <v>0</v>
      </c>
      <c r="AJ6" s="130" cm="1">
        <f t="array" ref="AJ6">SUMPRODUCT(($C6=CapexCategory)*(AJ$3=CapexMonth)*CapexAmount)</f>
        <v>0</v>
      </c>
      <c r="AK6" s="130" cm="1">
        <f t="array" ref="AK6">SUMPRODUCT(($C6=CapexCategory)*(AK$3=CapexMonth)*CapexAmount)</f>
        <v>0</v>
      </c>
      <c r="AL6" s="130" cm="1">
        <f t="array" ref="AL6">SUMPRODUCT(($C6=CapexCategory)*(AL$3=CapexMonth)*CapexAmount)</f>
        <v>0</v>
      </c>
      <c r="AM6" s="130" cm="1">
        <f t="array" ref="AM6">SUMPRODUCT(($C6=CapexCategory)*(AM$3=CapexMonth)*CapexAmount)</f>
        <v>0</v>
      </c>
      <c r="AN6" s="130" cm="1">
        <f t="array" ref="AN6">SUMPRODUCT(($C6=CapexCategory)*(AN$3=CapexMonth)*CapexAmount)</f>
        <v>0</v>
      </c>
      <c r="AO6" s="130" cm="1">
        <f t="array" ref="AO6">SUMPRODUCT(($C6=CapexCategory)*(AO$3=CapexMonth)*CapexAmount)</f>
        <v>0</v>
      </c>
      <c r="AP6" s="130" cm="1">
        <f t="array" ref="AP6">SUMPRODUCT(($C6=CapexCategory)*(AP$3=CapexMonth)*CapexAmount)</f>
        <v>0</v>
      </c>
      <c r="AQ6" s="130" cm="1">
        <f t="array" ref="AQ6">SUMPRODUCT(($C6=CapexCategory)*(AQ$3=CapexMonth)*CapexAmount)</f>
        <v>0</v>
      </c>
      <c r="AR6" s="130" cm="1">
        <f t="array" ref="AR6">SUMPRODUCT(($C6=CapexCategory)*(AR$3=CapexMonth)*CapexAmount)</f>
        <v>0</v>
      </c>
      <c r="AS6" s="130" cm="1">
        <f t="array" ref="AS6">SUMPRODUCT(($C6=CapexCategory)*(AS$3=CapexMonth)*CapexAmount)</f>
        <v>0</v>
      </c>
      <c r="AT6" s="128" cm="1">
        <f t="array" ref="AT6">SUMPRODUCT(($C6=CapexCategory)*(AT$3=CapexMonth)*CapexAmount)</f>
        <v>0</v>
      </c>
      <c r="AU6" s="130" cm="1">
        <f t="array" ref="AU6">SUMPRODUCT(($C6=CapexCategory)*(AU$3=CapexMonth)*CapexAmount)</f>
        <v>0</v>
      </c>
      <c r="AV6" s="130" cm="1">
        <f t="array" ref="AV6">SUMPRODUCT(($C6=CapexCategory)*(AV$3=CapexMonth)*CapexAmount)</f>
        <v>0</v>
      </c>
      <c r="AW6" s="130" cm="1">
        <f t="array" ref="AW6">SUMPRODUCT(($C6=CapexCategory)*(AW$3=CapexMonth)*CapexAmount)</f>
        <v>0</v>
      </c>
      <c r="AX6" s="130" cm="1">
        <f t="array" ref="AX6">SUMPRODUCT(($C6=CapexCategory)*(AX$3=CapexMonth)*CapexAmount)</f>
        <v>0</v>
      </c>
      <c r="AY6" s="130" cm="1">
        <f t="array" ref="AY6">SUMPRODUCT(($C6=CapexCategory)*(AY$3=CapexMonth)*CapexAmount)</f>
        <v>0</v>
      </c>
      <c r="AZ6" s="130" cm="1">
        <f t="array" ref="AZ6">SUMPRODUCT(($C6=CapexCategory)*(AZ$3=CapexMonth)*CapexAmount)</f>
        <v>0</v>
      </c>
      <c r="BA6" s="130" cm="1">
        <f t="array" ref="BA6">SUMPRODUCT(($C6=CapexCategory)*(BA$3=CapexMonth)*CapexAmount)</f>
        <v>0</v>
      </c>
      <c r="BB6" s="130" cm="1">
        <f t="array" ref="BB6">SUMPRODUCT(($C6=CapexCategory)*(BB$3=CapexMonth)*CapexAmount)</f>
        <v>0</v>
      </c>
      <c r="BC6" s="130" cm="1">
        <f t="array" ref="BC6">SUMPRODUCT(($C6=CapexCategory)*(BC$3=CapexMonth)*CapexAmount)</f>
        <v>0</v>
      </c>
      <c r="BD6" s="130" cm="1">
        <f t="array" ref="BD6">SUMPRODUCT(($C6=CapexCategory)*(BD$3=CapexMonth)*CapexAmount)</f>
        <v>0</v>
      </c>
      <c r="BE6" s="130" cm="1">
        <f t="array" ref="BE6">SUMPRODUCT(($C6=CapexCategory)*(BE$3=CapexMonth)*CapexAmount)</f>
        <v>0</v>
      </c>
      <c r="BF6" s="128" cm="1">
        <f t="array" ref="BF6">SUMPRODUCT(($C6=CapexCategory)*(BF$3=CapexMonth)*CapexAmount)</f>
        <v>0</v>
      </c>
      <c r="BG6" s="130" cm="1">
        <f t="array" ref="BG6">SUMPRODUCT(($C6=CapexCategory)*(BG$3=CapexMonth)*CapexAmount)</f>
        <v>0</v>
      </c>
      <c r="BH6" s="130" cm="1">
        <f t="array" ref="BH6">SUMPRODUCT(($C6=CapexCategory)*(BH$3=CapexMonth)*CapexAmount)</f>
        <v>0</v>
      </c>
      <c r="BI6" s="130" cm="1">
        <f t="array" ref="BI6">SUMPRODUCT(($C6=CapexCategory)*(BI$3=CapexMonth)*CapexAmount)</f>
        <v>0</v>
      </c>
      <c r="BJ6" s="130" cm="1">
        <f t="array" ref="BJ6">SUMPRODUCT(($C6=CapexCategory)*(BJ$3=CapexMonth)*CapexAmount)</f>
        <v>0</v>
      </c>
      <c r="BK6" s="130" cm="1">
        <f t="array" ref="BK6">SUMPRODUCT(($C6=CapexCategory)*(BK$3=CapexMonth)*CapexAmount)</f>
        <v>0</v>
      </c>
      <c r="BL6" s="130" cm="1">
        <f t="array" ref="BL6">SUMPRODUCT(($C6=CapexCategory)*(BL$3=CapexMonth)*CapexAmount)</f>
        <v>0</v>
      </c>
      <c r="BM6" s="130" cm="1">
        <f t="array" ref="BM6">SUMPRODUCT(($C6=CapexCategory)*(BM$3=CapexMonth)*CapexAmount)</f>
        <v>0</v>
      </c>
      <c r="BN6" s="130" cm="1">
        <f t="array" ref="BN6">SUMPRODUCT(($C6=CapexCategory)*(BN$3=CapexMonth)*CapexAmount)</f>
        <v>0</v>
      </c>
      <c r="BO6" s="130" cm="1">
        <f t="array" ref="BO6">SUMPRODUCT(($C6=CapexCategory)*(BO$3=CapexMonth)*CapexAmount)</f>
        <v>0</v>
      </c>
      <c r="BP6" s="130" cm="1">
        <f t="array" ref="BP6">SUMPRODUCT(($C6=CapexCategory)*(BP$3=CapexMonth)*CapexAmount)</f>
        <v>0</v>
      </c>
      <c r="BQ6" s="130" cm="1">
        <f t="array" ref="BQ6">SUMPRODUCT(($C6=CapexCategory)*(BQ$3=CapexMonth)*CapexAmount)</f>
        <v>0</v>
      </c>
      <c r="BR6" s="128" cm="1">
        <f t="array" ref="BR6">SUMPRODUCT(($C6=CapexCategory)*(BR$3=CapexMonth)*CapexAmount)</f>
        <v>0</v>
      </c>
    </row>
    <row r="7" spans="1:70" ht="13.2" x14ac:dyDescent="0.3">
      <c r="C7" s="61" t="s">
        <v>95</v>
      </c>
      <c r="D7" s="14"/>
      <c r="E7" s="176">
        <f t="shared" si="0"/>
        <v>0</v>
      </c>
      <c r="F7" s="176">
        <f t="shared" si="1"/>
        <v>0</v>
      </c>
      <c r="G7" s="176">
        <f t="shared" si="2"/>
        <v>0</v>
      </c>
      <c r="H7" s="176">
        <f t="shared" si="3"/>
        <v>0</v>
      </c>
      <c r="I7" s="176">
        <f t="shared" si="4"/>
        <v>0</v>
      </c>
      <c r="J7" s="129"/>
      <c r="K7" s="130" cm="1">
        <f t="array" ref="K7">SUMPRODUCT(($C7=CapexCategory)*(K$3=CapexMonth)*CapexAmount)</f>
        <v>0</v>
      </c>
      <c r="L7" s="130" cm="1">
        <f t="array" ref="L7">SUMPRODUCT(($C7=CapexCategory)*(L$3=CapexMonth)*CapexAmount)</f>
        <v>0</v>
      </c>
      <c r="M7" s="130" cm="1">
        <f t="array" ref="M7">SUMPRODUCT(($C7=CapexCategory)*(M$3=CapexMonth)*CapexAmount)</f>
        <v>0</v>
      </c>
      <c r="N7" s="130" cm="1">
        <f t="array" ref="N7">SUMPRODUCT(($C7=CapexCategory)*(N$3=CapexMonth)*CapexAmount)</f>
        <v>0</v>
      </c>
      <c r="O7" s="130" cm="1">
        <f t="array" ref="O7">SUMPRODUCT(($C7=CapexCategory)*(O$3=CapexMonth)*CapexAmount)</f>
        <v>0</v>
      </c>
      <c r="P7" s="130" cm="1">
        <f t="array" ref="P7">SUMPRODUCT(($C7=CapexCategory)*(P$3=CapexMonth)*CapexAmount)</f>
        <v>0</v>
      </c>
      <c r="Q7" s="130" cm="1">
        <f t="array" ref="Q7">SUMPRODUCT(($C7=CapexCategory)*(Q$3=CapexMonth)*CapexAmount)</f>
        <v>0</v>
      </c>
      <c r="R7" s="130" cm="1">
        <f t="array" ref="R7">SUMPRODUCT(($C7=CapexCategory)*(R$3=CapexMonth)*CapexAmount)</f>
        <v>0</v>
      </c>
      <c r="S7" s="130" cm="1">
        <f t="array" ref="S7">SUMPRODUCT(($C7=CapexCategory)*(S$3=CapexMonth)*CapexAmount)</f>
        <v>0</v>
      </c>
      <c r="T7" s="130" cm="1">
        <f t="array" ref="T7">SUMPRODUCT(($C7=CapexCategory)*(T$3=CapexMonth)*CapexAmount)</f>
        <v>0</v>
      </c>
      <c r="U7" s="130" cm="1">
        <f t="array" ref="U7">SUMPRODUCT(($C7=CapexCategory)*(U$3=CapexMonth)*CapexAmount)</f>
        <v>0</v>
      </c>
      <c r="V7" s="128" cm="1">
        <f t="array" ref="V7">SUMPRODUCT(($C7=CapexCategory)*(V$3=CapexMonth)*CapexAmount)</f>
        <v>0</v>
      </c>
      <c r="W7" s="130" cm="1">
        <f t="array" ref="W7">SUMPRODUCT(($C7=CapexCategory)*(W$3=CapexMonth)*CapexAmount)</f>
        <v>0</v>
      </c>
      <c r="X7" s="130" cm="1">
        <f t="array" ref="X7">SUMPRODUCT(($C7=CapexCategory)*(X$3=CapexMonth)*CapexAmount)</f>
        <v>0</v>
      </c>
      <c r="Y7" s="130" cm="1">
        <f t="array" ref="Y7">SUMPRODUCT(($C7=CapexCategory)*(Y$3=CapexMonth)*CapexAmount)</f>
        <v>0</v>
      </c>
      <c r="Z7" s="130" cm="1">
        <f t="array" ref="Z7">SUMPRODUCT(($C7=CapexCategory)*(Z$3=CapexMonth)*CapexAmount)</f>
        <v>0</v>
      </c>
      <c r="AA7" s="130" cm="1">
        <f t="array" ref="AA7">SUMPRODUCT(($C7=CapexCategory)*(AA$3=CapexMonth)*CapexAmount)</f>
        <v>0</v>
      </c>
      <c r="AB7" s="130" cm="1">
        <f t="array" ref="AB7">SUMPRODUCT(($C7=CapexCategory)*(AB$3=CapexMonth)*CapexAmount)</f>
        <v>0</v>
      </c>
      <c r="AC7" s="130" cm="1">
        <f t="array" ref="AC7">SUMPRODUCT(($C7=CapexCategory)*(AC$3=CapexMonth)*CapexAmount)</f>
        <v>0</v>
      </c>
      <c r="AD7" s="130" cm="1">
        <f t="array" ref="AD7">SUMPRODUCT(($C7=CapexCategory)*(AD$3=CapexMonth)*CapexAmount)</f>
        <v>0</v>
      </c>
      <c r="AE7" s="130" cm="1">
        <f t="array" ref="AE7">SUMPRODUCT(($C7=CapexCategory)*(AE$3=CapexMonth)*CapexAmount)</f>
        <v>0</v>
      </c>
      <c r="AF7" s="130" cm="1">
        <f t="array" ref="AF7">SUMPRODUCT(($C7=CapexCategory)*(AF$3=CapexMonth)*CapexAmount)</f>
        <v>0</v>
      </c>
      <c r="AG7" s="130" cm="1">
        <f t="array" ref="AG7">SUMPRODUCT(($C7=CapexCategory)*(AG$3=CapexMonth)*CapexAmount)</f>
        <v>0</v>
      </c>
      <c r="AH7" s="128" cm="1">
        <f t="array" ref="AH7">SUMPRODUCT(($C7=CapexCategory)*(AH$3=CapexMonth)*CapexAmount)</f>
        <v>0</v>
      </c>
      <c r="AI7" s="130" cm="1">
        <f t="array" ref="AI7">SUMPRODUCT(($C7=CapexCategory)*(AI$3=CapexMonth)*CapexAmount)</f>
        <v>0</v>
      </c>
      <c r="AJ7" s="130" cm="1">
        <f t="array" ref="AJ7">SUMPRODUCT(($C7=CapexCategory)*(AJ$3=CapexMonth)*CapexAmount)</f>
        <v>0</v>
      </c>
      <c r="AK7" s="130" cm="1">
        <f t="array" ref="AK7">SUMPRODUCT(($C7=CapexCategory)*(AK$3=CapexMonth)*CapexAmount)</f>
        <v>0</v>
      </c>
      <c r="AL7" s="130" cm="1">
        <f t="array" ref="AL7">SUMPRODUCT(($C7=CapexCategory)*(AL$3=CapexMonth)*CapexAmount)</f>
        <v>0</v>
      </c>
      <c r="AM7" s="130" cm="1">
        <f t="array" ref="AM7">SUMPRODUCT(($C7=CapexCategory)*(AM$3=CapexMonth)*CapexAmount)</f>
        <v>0</v>
      </c>
      <c r="AN7" s="130" cm="1">
        <f t="array" ref="AN7">SUMPRODUCT(($C7=CapexCategory)*(AN$3=CapexMonth)*CapexAmount)</f>
        <v>0</v>
      </c>
      <c r="AO7" s="130" cm="1">
        <f t="array" ref="AO7">SUMPRODUCT(($C7=CapexCategory)*(AO$3=CapexMonth)*CapexAmount)</f>
        <v>0</v>
      </c>
      <c r="AP7" s="130" cm="1">
        <f t="array" ref="AP7">SUMPRODUCT(($C7=CapexCategory)*(AP$3=CapexMonth)*CapexAmount)</f>
        <v>0</v>
      </c>
      <c r="AQ7" s="130" cm="1">
        <f t="array" ref="AQ7">SUMPRODUCT(($C7=CapexCategory)*(AQ$3=CapexMonth)*CapexAmount)</f>
        <v>0</v>
      </c>
      <c r="AR7" s="130" cm="1">
        <f t="array" ref="AR7">SUMPRODUCT(($C7=CapexCategory)*(AR$3=CapexMonth)*CapexAmount)</f>
        <v>0</v>
      </c>
      <c r="AS7" s="130" cm="1">
        <f t="array" ref="AS7">SUMPRODUCT(($C7=CapexCategory)*(AS$3=CapexMonth)*CapexAmount)</f>
        <v>0</v>
      </c>
      <c r="AT7" s="128" cm="1">
        <f t="array" ref="AT7">SUMPRODUCT(($C7=CapexCategory)*(AT$3=CapexMonth)*CapexAmount)</f>
        <v>0</v>
      </c>
      <c r="AU7" s="130" cm="1">
        <f t="array" ref="AU7">SUMPRODUCT(($C7=CapexCategory)*(AU$3=CapexMonth)*CapexAmount)</f>
        <v>0</v>
      </c>
      <c r="AV7" s="130" cm="1">
        <f t="array" ref="AV7">SUMPRODUCT(($C7=CapexCategory)*(AV$3=CapexMonth)*CapexAmount)</f>
        <v>0</v>
      </c>
      <c r="AW7" s="130" cm="1">
        <f t="array" ref="AW7">SUMPRODUCT(($C7=CapexCategory)*(AW$3=CapexMonth)*CapexAmount)</f>
        <v>0</v>
      </c>
      <c r="AX7" s="130" cm="1">
        <f t="array" ref="AX7">SUMPRODUCT(($C7=CapexCategory)*(AX$3=CapexMonth)*CapexAmount)</f>
        <v>0</v>
      </c>
      <c r="AY7" s="130" cm="1">
        <f t="array" ref="AY7">SUMPRODUCT(($C7=CapexCategory)*(AY$3=CapexMonth)*CapexAmount)</f>
        <v>0</v>
      </c>
      <c r="AZ7" s="130" cm="1">
        <f t="array" ref="AZ7">SUMPRODUCT(($C7=CapexCategory)*(AZ$3=CapexMonth)*CapexAmount)</f>
        <v>0</v>
      </c>
      <c r="BA7" s="130" cm="1">
        <f t="array" ref="BA7">SUMPRODUCT(($C7=CapexCategory)*(BA$3=CapexMonth)*CapexAmount)</f>
        <v>0</v>
      </c>
      <c r="BB7" s="130" cm="1">
        <f t="array" ref="BB7">SUMPRODUCT(($C7=CapexCategory)*(BB$3=CapexMonth)*CapexAmount)</f>
        <v>0</v>
      </c>
      <c r="BC7" s="130" cm="1">
        <f t="array" ref="BC7">SUMPRODUCT(($C7=CapexCategory)*(BC$3=CapexMonth)*CapexAmount)</f>
        <v>0</v>
      </c>
      <c r="BD7" s="130" cm="1">
        <f t="array" ref="BD7">SUMPRODUCT(($C7=CapexCategory)*(BD$3=CapexMonth)*CapexAmount)</f>
        <v>0</v>
      </c>
      <c r="BE7" s="130" cm="1">
        <f t="array" ref="BE7">SUMPRODUCT(($C7=CapexCategory)*(BE$3=CapexMonth)*CapexAmount)</f>
        <v>0</v>
      </c>
      <c r="BF7" s="128" cm="1">
        <f t="array" ref="BF7">SUMPRODUCT(($C7=CapexCategory)*(BF$3=CapexMonth)*CapexAmount)</f>
        <v>0</v>
      </c>
      <c r="BG7" s="130" cm="1">
        <f t="array" ref="BG7">SUMPRODUCT(($C7=CapexCategory)*(BG$3=CapexMonth)*CapexAmount)</f>
        <v>0</v>
      </c>
      <c r="BH7" s="130" cm="1">
        <f t="array" ref="BH7">SUMPRODUCT(($C7=CapexCategory)*(BH$3=CapexMonth)*CapexAmount)</f>
        <v>0</v>
      </c>
      <c r="BI7" s="130" cm="1">
        <f t="array" ref="BI7">SUMPRODUCT(($C7=CapexCategory)*(BI$3=CapexMonth)*CapexAmount)</f>
        <v>0</v>
      </c>
      <c r="BJ7" s="130" cm="1">
        <f t="array" ref="BJ7">SUMPRODUCT(($C7=CapexCategory)*(BJ$3=CapexMonth)*CapexAmount)</f>
        <v>0</v>
      </c>
      <c r="BK7" s="130" cm="1">
        <f t="array" ref="BK7">SUMPRODUCT(($C7=CapexCategory)*(BK$3=CapexMonth)*CapexAmount)</f>
        <v>0</v>
      </c>
      <c r="BL7" s="130" cm="1">
        <f t="array" ref="BL7">SUMPRODUCT(($C7=CapexCategory)*(BL$3=CapexMonth)*CapexAmount)</f>
        <v>0</v>
      </c>
      <c r="BM7" s="130" cm="1">
        <f t="array" ref="BM7">SUMPRODUCT(($C7=CapexCategory)*(BM$3=CapexMonth)*CapexAmount)</f>
        <v>0</v>
      </c>
      <c r="BN7" s="130" cm="1">
        <f t="array" ref="BN7">SUMPRODUCT(($C7=CapexCategory)*(BN$3=CapexMonth)*CapexAmount)</f>
        <v>0</v>
      </c>
      <c r="BO7" s="130" cm="1">
        <f t="array" ref="BO7">SUMPRODUCT(($C7=CapexCategory)*(BO$3=CapexMonth)*CapexAmount)</f>
        <v>0</v>
      </c>
      <c r="BP7" s="130" cm="1">
        <f t="array" ref="BP7">SUMPRODUCT(($C7=CapexCategory)*(BP$3=CapexMonth)*CapexAmount)</f>
        <v>0</v>
      </c>
      <c r="BQ7" s="130" cm="1">
        <f t="array" ref="BQ7">SUMPRODUCT(($C7=CapexCategory)*(BQ$3=CapexMonth)*CapexAmount)</f>
        <v>0</v>
      </c>
      <c r="BR7" s="128" cm="1">
        <f t="array" ref="BR7">SUMPRODUCT(($C7=CapexCategory)*(BR$3=CapexMonth)*CapexAmount)</f>
        <v>0</v>
      </c>
    </row>
    <row r="8" spans="1:70" ht="13.2" x14ac:dyDescent="0.3">
      <c r="C8" s="61" t="s">
        <v>96</v>
      </c>
      <c r="D8" s="14"/>
      <c r="E8" s="176">
        <f t="shared" si="0"/>
        <v>100</v>
      </c>
      <c r="F8" s="176">
        <f t="shared" si="1"/>
        <v>0</v>
      </c>
      <c r="G8" s="176">
        <f t="shared" si="2"/>
        <v>0</v>
      </c>
      <c r="H8" s="176">
        <f t="shared" si="3"/>
        <v>0</v>
      </c>
      <c r="I8" s="176">
        <f t="shared" si="4"/>
        <v>0</v>
      </c>
      <c r="J8" s="129"/>
      <c r="K8" s="130" cm="1">
        <f t="array" ref="K8">SUMPRODUCT(($C8=CapexCategory)*(K$3=CapexMonth)*CapexAmount)</f>
        <v>0</v>
      </c>
      <c r="L8" s="130" cm="1">
        <f t="array" ref="L8">SUMPRODUCT(($C8=CapexCategory)*(L$3=CapexMonth)*CapexAmount)</f>
        <v>0</v>
      </c>
      <c r="M8" s="130" cm="1">
        <f t="array" ref="M8">SUMPRODUCT(($C8=CapexCategory)*(M$3=CapexMonth)*CapexAmount)</f>
        <v>0</v>
      </c>
      <c r="N8" s="130" cm="1">
        <f t="array" ref="N8">SUMPRODUCT(($C8=CapexCategory)*(N$3=CapexMonth)*CapexAmount)</f>
        <v>0</v>
      </c>
      <c r="O8" s="130" cm="1">
        <f t="array" ref="O8">SUMPRODUCT(($C8=CapexCategory)*(O$3=CapexMonth)*CapexAmount)</f>
        <v>0</v>
      </c>
      <c r="P8" s="130" cm="1">
        <f t="array" ref="P8">SUMPRODUCT(($C8=CapexCategory)*(P$3=CapexMonth)*CapexAmount)</f>
        <v>100</v>
      </c>
      <c r="Q8" s="130" cm="1">
        <f t="array" ref="Q8">SUMPRODUCT(($C8=CapexCategory)*(Q$3=CapexMonth)*CapexAmount)</f>
        <v>0</v>
      </c>
      <c r="R8" s="130" cm="1">
        <f t="array" ref="R8">SUMPRODUCT(($C8=CapexCategory)*(R$3=CapexMonth)*CapexAmount)</f>
        <v>0</v>
      </c>
      <c r="S8" s="130" cm="1">
        <f t="array" ref="S8">SUMPRODUCT(($C8=CapexCategory)*(S$3=CapexMonth)*CapexAmount)</f>
        <v>0</v>
      </c>
      <c r="T8" s="130" cm="1">
        <f t="array" ref="T8">SUMPRODUCT(($C8=CapexCategory)*(T$3=CapexMonth)*CapexAmount)</f>
        <v>0</v>
      </c>
      <c r="U8" s="130" cm="1">
        <f t="array" ref="U8">SUMPRODUCT(($C8=CapexCategory)*(U$3=CapexMonth)*CapexAmount)</f>
        <v>0</v>
      </c>
      <c r="V8" s="128" cm="1">
        <f t="array" ref="V8">SUMPRODUCT(($C8=CapexCategory)*(V$3=CapexMonth)*CapexAmount)</f>
        <v>0</v>
      </c>
      <c r="W8" s="130" cm="1">
        <f t="array" ref="W8">SUMPRODUCT(($C8=CapexCategory)*(W$3=CapexMonth)*CapexAmount)</f>
        <v>0</v>
      </c>
      <c r="X8" s="130" cm="1">
        <f t="array" ref="X8">SUMPRODUCT(($C8=CapexCategory)*(X$3=CapexMonth)*CapexAmount)</f>
        <v>0</v>
      </c>
      <c r="Y8" s="130" cm="1">
        <f t="array" ref="Y8">SUMPRODUCT(($C8=CapexCategory)*(Y$3=CapexMonth)*CapexAmount)</f>
        <v>0</v>
      </c>
      <c r="Z8" s="130" cm="1">
        <f t="array" ref="Z8">SUMPRODUCT(($C8=CapexCategory)*(Z$3=CapexMonth)*CapexAmount)</f>
        <v>0</v>
      </c>
      <c r="AA8" s="130" cm="1">
        <f t="array" ref="AA8">SUMPRODUCT(($C8=CapexCategory)*(AA$3=CapexMonth)*CapexAmount)</f>
        <v>0</v>
      </c>
      <c r="AB8" s="130" cm="1">
        <f t="array" ref="AB8">SUMPRODUCT(($C8=CapexCategory)*(AB$3=CapexMonth)*CapexAmount)</f>
        <v>0</v>
      </c>
      <c r="AC8" s="130" cm="1">
        <f t="array" ref="AC8">SUMPRODUCT(($C8=CapexCategory)*(AC$3=CapexMonth)*CapexAmount)</f>
        <v>0</v>
      </c>
      <c r="AD8" s="130" cm="1">
        <f t="array" ref="AD8">SUMPRODUCT(($C8=CapexCategory)*(AD$3=CapexMonth)*CapexAmount)</f>
        <v>0</v>
      </c>
      <c r="AE8" s="130" cm="1">
        <f t="array" ref="AE8">SUMPRODUCT(($C8=CapexCategory)*(AE$3=CapexMonth)*CapexAmount)</f>
        <v>0</v>
      </c>
      <c r="AF8" s="130" cm="1">
        <f t="array" ref="AF8">SUMPRODUCT(($C8=CapexCategory)*(AF$3=CapexMonth)*CapexAmount)</f>
        <v>0</v>
      </c>
      <c r="AG8" s="130" cm="1">
        <f t="array" ref="AG8">SUMPRODUCT(($C8=CapexCategory)*(AG$3=CapexMonth)*CapexAmount)</f>
        <v>0</v>
      </c>
      <c r="AH8" s="128" cm="1">
        <f t="array" ref="AH8">SUMPRODUCT(($C8=CapexCategory)*(AH$3=CapexMonth)*CapexAmount)</f>
        <v>0</v>
      </c>
      <c r="AI8" s="130" cm="1">
        <f t="array" ref="AI8">SUMPRODUCT(($C8=CapexCategory)*(AI$3=CapexMonth)*CapexAmount)</f>
        <v>0</v>
      </c>
      <c r="AJ8" s="130" cm="1">
        <f t="array" ref="AJ8">SUMPRODUCT(($C8=CapexCategory)*(AJ$3=CapexMonth)*CapexAmount)</f>
        <v>0</v>
      </c>
      <c r="AK8" s="130" cm="1">
        <f t="array" ref="AK8">SUMPRODUCT(($C8=CapexCategory)*(AK$3=CapexMonth)*CapexAmount)</f>
        <v>0</v>
      </c>
      <c r="AL8" s="130" cm="1">
        <f t="array" ref="AL8">SUMPRODUCT(($C8=CapexCategory)*(AL$3=CapexMonth)*CapexAmount)</f>
        <v>0</v>
      </c>
      <c r="AM8" s="130" cm="1">
        <f t="array" ref="AM8">SUMPRODUCT(($C8=CapexCategory)*(AM$3=CapexMonth)*CapexAmount)</f>
        <v>0</v>
      </c>
      <c r="AN8" s="130" cm="1">
        <f t="array" ref="AN8">SUMPRODUCT(($C8=CapexCategory)*(AN$3=CapexMonth)*CapexAmount)</f>
        <v>0</v>
      </c>
      <c r="AO8" s="130" cm="1">
        <f t="array" ref="AO8">SUMPRODUCT(($C8=CapexCategory)*(AO$3=CapexMonth)*CapexAmount)</f>
        <v>0</v>
      </c>
      <c r="AP8" s="130" cm="1">
        <f t="array" ref="AP8">SUMPRODUCT(($C8=CapexCategory)*(AP$3=CapexMonth)*CapexAmount)</f>
        <v>0</v>
      </c>
      <c r="AQ8" s="130" cm="1">
        <f t="array" ref="AQ8">SUMPRODUCT(($C8=CapexCategory)*(AQ$3=CapexMonth)*CapexAmount)</f>
        <v>0</v>
      </c>
      <c r="AR8" s="130" cm="1">
        <f t="array" ref="AR8">SUMPRODUCT(($C8=CapexCategory)*(AR$3=CapexMonth)*CapexAmount)</f>
        <v>0</v>
      </c>
      <c r="AS8" s="130" cm="1">
        <f t="array" ref="AS8">SUMPRODUCT(($C8=CapexCategory)*(AS$3=CapexMonth)*CapexAmount)</f>
        <v>0</v>
      </c>
      <c r="AT8" s="128" cm="1">
        <f t="array" ref="AT8">SUMPRODUCT(($C8=CapexCategory)*(AT$3=CapexMonth)*CapexAmount)</f>
        <v>0</v>
      </c>
      <c r="AU8" s="130" cm="1">
        <f t="array" ref="AU8">SUMPRODUCT(($C8=CapexCategory)*(AU$3=CapexMonth)*CapexAmount)</f>
        <v>0</v>
      </c>
      <c r="AV8" s="130" cm="1">
        <f t="array" ref="AV8">SUMPRODUCT(($C8=CapexCategory)*(AV$3=CapexMonth)*CapexAmount)</f>
        <v>0</v>
      </c>
      <c r="AW8" s="130" cm="1">
        <f t="array" ref="AW8">SUMPRODUCT(($C8=CapexCategory)*(AW$3=CapexMonth)*CapexAmount)</f>
        <v>0</v>
      </c>
      <c r="AX8" s="130" cm="1">
        <f t="array" ref="AX8">SUMPRODUCT(($C8=CapexCategory)*(AX$3=CapexMonth)*CapexAmount)</f>
        <v>0</v>
      </c>
      <c r="AY8" s="130" cm="1">
        <f t="array" ref="AY8">SUMPRODUCT(($C8=CapexCategory)*(AY$3=CapexMonth)*CapexAmount)</f>
        <v>0</v>
      </c>
      <c r="AZ8" s="130" cm="1">
        <f t="array" ref="AZ8">SUMPRODUCT(($C8=CapexCategory)*(AZ$3=CapexMonth)*CapexAmount)</f>
        <v>0</v>
      </c>
      <c r="BA8" s="130" cm="1">
        <f t="array" ref="BA8">SUMPRODUCT(($C8=CapexCategory)*(BA$3=CapexMonth)*CapexAmount)</f>
        <v>0</v>
      </c>
      <c r="BB8" s="130" cm="1">
        <f t="array" ref="BB8">SUMPRODUCT(($C8=CapexCategory)*(BB$3=CapexMonth)*CapexAmount)</f>
        <v>0</v>
      </c>
      <c r="BC8" s="130" cm="1">
        <f t="array" ref="BC8">SUMPRODUCT(($C8=CapexCategory)*(BC$3=CapexMonth)*CapexAmount)</f>
        <v>0</v>
      </c>
      <c r="BD8" s="130" cm="1">
        <f t="array" ref="BD8">SUMPRODUCT(($C8=CapexCategory)*(BD$3=CapexMonth)*CapexAmount)</f>
        <v>0</v>
      </c>
      <c r="BE8" s="130" cm="1">
        <f t="array" ref="BE8">SUMPRODUCT(($C8=CapexCategory)*(BE$3=CapexMonth)*CapexAmount)</f>
        <v>0</v>
      </c>
      <c r="BF8" s="128" cm="1">
        <f t="array" ref="BF8">SUMPRODUCT(($C8=CapexCategory)*(BF$3=CapexMonth)*CapexAmount)</f>
        <v>0</v>
      </c>
      <c r="BG8" s="130" cm="1">
        <f t="array" ref="BG8">SUMPRODUCT(($C8=CapexCategory)*(BG$3=CapexMonth)*CapexAmount)</f>
        <v>0</v>
      </c>
      <c r="BH8" s="130" cm="1">
        <f t="array" ref="BH8">SUMPRODUCT(($C8=CapexCategory)*(BH$3=CapexMonth)*CapexAmount)</f>
        <v>0</v>
      </c>
      <c r="BI8" s="130" cm="1">
        <f t="array" ref="BI8">SUMPRODUCT(($C8=CapexCategory)*(BI$3=CapexMonth)*CapexAmount)</f>
        <v>0</v>
      </c>
      <c r="BJ8" s="130" cm="1">
        <f t="array" ref="BJ8">SUMPRODUCT(($C8=CapexCategory)*(BJ$3=CapexMonth)*CapexAmount)</f>
        <v>0</v>
      </c>
      <c r="BK8" s="130" cm="1">
        <f t="array" ref="BK8">SUMPRODUCT(($C8=CapexCategory)*(BK$3=CapexMonth)*CapexAmount)</f>
        <v>0</v>
      </c>
      <c r="BL8" s="130" cm="1">
        <f t="array" ref="BL8">SUMPRODUCT(($C8=CapexCategory)*(BL$3=CapexMonth)*CapexAmount)</f>
        <v>0</v>
      </c>
      <c r="BM8" s="130" cm="1">
        <f t="array" ref="BM8">SUMPRODUCT(($C8=CapexCategory)*(BM$3=CapexMonth)*CapexAmount)</f>
        <v>0</v>
      </c>
      <c r="BN8" s="130" cm="1">
        <f t="array" ref="BN8">SUMPRODUCT(($C8=CapexCategory)*(BN$3=CapexMonth)*CapexAmount)</f>
        <v>0</v>
      </c>
      <c r="BO8" s="130" cm="1">
        <f t="array" ref="BO8">SUMPRODUCT(($C8=CapexCategory)*(BO$3=CapexMonth)*CapexAmount)</f>
        <v>0</v>
      </c>
      <c r="BP8" s="130" cm="1">
        <f t="array" ref="BP8">SUMPRODUCT(($C8=CapexCategory)*(BP$3=CapexMonth)*CapexAmount)</f>
        <v>0</v>
      </c>
      <c r="BQ8" s="130" cm="1">
        <f t="array" ref="BQ8">SUMPRODUCT(($C8=CapexCategory)*(BQ$3=CapexMonth)*CapexAmount)</f>
        <v>0</v>
      </c>
      <c r="BR8" s="128" cm="1">
        <f t="array" ref="BR8">SUMPRODUCT(($C8=CapexCategory)*(BR$3=CapexMonth)*CapexAmount)</f>
        <v>0</v>
      </c>
    </row>
    <row r="9" spans="1:70" ht="13.2" x14ac:dyDescent="0.3">
      <c r="C9" s="61" t="s">
        <v>97</v>
      </c>
      <c r="D9" s="14"/>
      <c r="E9" s="176">
        <f t="shared" si="0"/>
        <v>50</v>
      </c>
      <c r="F9" s="176">
        <f t="shared" si="1"/>
        <v>0</v>
      </c>
      <c r="G9" s="176">
        <f t="shared" si="2"/>
        <v>0</v>
      </c>
      <c r="H9" s="176">
        <f t="shared" si="3"/>
        <v>0</v>
      </c>
      <c r="I9" s="176">
        <f t="shared" si="4"/>
        <v>0</v>
      </c>
      <c r="J9" s="129"/>
      <c r="K9" s="130" cm="1">
        <f t="array" ref="K9">SUMPRODUCT(($C9=CapexCategory)*(K$3=CapexMonth)*CapexAmount)</f>
        <v>0</v>
      </c>
      <c r="L9" s="130" cm="1">
        <f t="array" ref="L9">SUMPRODUCT(($C9=CapexCategory)*(L$3=CapexMonth)*CapexAmount)</f>
        <v>0</v>
      </c>
      <c r="M9" s="130" cm="1">
        <f t="array" ref="M9">SUMPRODUCT(($C9=CapexCategory)*(M$3=CapexMonth)*CapexAmount)</f>
        <v>50</v>
      </c>
      <c r="N9" s="130" cm="1">
        <f t="array" ref="N9">SUMPRODUCT(($C9=CapexCategory)*(N$3=CapexMonth)*CapexAmount)</f>
        <v>0</v>
      </c>
      <c r="O9" s="130" cm="1">
        <f t="array" ref="O9">SUMPRODUCT(($C9=CapexCategory)*(O$3=CapexMonth)*CapexAmount)</f>
        <v>0</v>
      </c>
      <c r="P9" s="130" cm="1">
        <f t="array" ref="P9">SUMPRODUCT(($C9=CapexCategory)*(P$3=CapexMonth)*CapexAmount)</f>
        <v>0</v>
      </c>
      <c r="Q9" s="130" cm="1">
        <f t="array" ref="Q9">SUMPRODUCT(($C9=CapexCategory)*(Q$3=CapexMonth)*CapexAmount)</f>
        <v>0</v>
      </c>
      <c r="R9" s="130" cm="1">
        <f t="array" ref="R9">SUMPRODUCT(($C9=CapexCategory)*(R$3=CapexMonth)*CapexAmount)</f>
        <v>0</v>
      </c>
      <c r="S9" s="130" cm="1">
        <f t="array" ref="S9">SUMPRODUCT(($C9=CapexCategory)*(S$3=CapexMonth)*CapexAmount)</f>
        <v>0</v>
      </c>
      <c r="T9" s="130" cm="1">
        <f t="array" ref="T9">SUMPRODUCT(($C9=CapexCategory)*(T$3=CapexMonth)*CapexAmount)</f>
        <v>0</v>
      </c>
      <c r="U9" s="130" cm="1">
        <f t="array" ref="U9">SUMPRODUCT(($C9=CapexCategory)*(U$3=CapexMonth)*CapexAmount)</f>
        <v>0</v>
      </c>
      <c r="V9" s="128" cm="1">
        <f t="array" ref="V9">SUMPRODUCT(($C9=CapexCategory)*(V$3=CapexMonth)*CapexAmount)</f>
        <v>0</v>
      </c>
      <c r="W9" s="130" cm="1">
        <f t="array" ref="W9">SUMPRODUCT(($C9=CapexCategory)*(W$3=CapexMonth)*CapexAmount)</f>
        <v>0</v>
      </c>
      <c r="X9" s="130" cm="1">
        <f t="array" ref="X9">SUMPRODUCT(($C9=CapexCategory)*(X$3=CapexMonth)*CapexAmount)</f>
        <v>0</v>
      </c>
      <c r="Y9" s="130" cm="1">
        <f t="array" ref="Y9">SUMPRODUCT(($C9=CapexCategory)*(Y$3=CapexMonth)*CapexAmount)</f>
        <v>0</v>
      </c>
      <c r="Z9" s="130" cm="1">
        <f t="array" ref="Z9">SUMPRODUCT(($C9=CapexCategory)*(Z$3=CapexMonth)*CapexAmount)</f>
        <v>0</v>
      </c>
      <c r="AA9" s="130" cm="1">
        <f t="array" ref="AA9">SUMPRODUCT(($C9=CapexCategory)*(AA$3=CapexMonth)*CapexAmount)</f>
        <v>0</v>
      </c>
      <c r="AB9" s="130" cm="1">
        <f t="array" ref="AB9">SUMPRODUCT(($C9=CapexCategory)*(AB$3=CapexMonth)*CapexAmount)</f>
        <v>0</v>
      </c>
      <c r="AC9" s="130" cm="1">
        <f t="array" ref="AC9">SUMPRODUCT(($C9=CapexCategory)*(AC$3=CapexMonth)*CapexAmount)</f>
        <v>0</v>
      </c>
      <c r="AD9" s="130" cm="1">
        <f t="array" ref="AD9">SUMPRODUCT(($C9=CapexCategory)*(AD$3=CapexMonth)*CapexAmount)</f>
        <v>0</v>
      </c>
      <c r="AE9" s="130" cm="1">
        <f t="array" ref="AE9">SUMPRODUCT(($C9=CapexCategory)*(AE$3=CapexMonth)*CapexAmount)</f>
        <v>0</v>
      </c>
      <c r="AF9" s="130" cm="1">
        <f t="array" ref="AF9">SUMPRODUCT(($C9=CapexCategory)*(AF$3=CapexMonth)*CapexAmount)</f>
        <v>0</v>
      </c>
      <c r="AG9" s="130" cm="1">
        <f t="array" ref="AG9">SUMPRODUCT(($C9=CapexCategory)*(AG$3=CapexMonth)*CapexAmount)</f>
        <v>0</v>
      </c>
      <c r="AH9" s="128" cm="1">
        <f t="array" ref="AH9">SUMPRODUCT(($C9=CapexCategory)*(AH$3=CapexMonth)*CapexAmount)</f>
        <v>0</v>
      </c>
      <c r="AI9" s="130" cm="1">
        <f t="array" ref="AI9">SUMPRODUCT(($C9=CapexCategory)*(AI$3=CapexMonth)*CapexAmount)</f>
        <v>0</v>
      </c>
      <c r="AJ9" s="130" cm="1">
        <f t="array" ref="AJ9">SUMPRODUCT(($C9=CapexCategory)*(AJ$3=CapexMonth)*CapexAmount)</f>
        <v>0</v>
      </c>
      <c r="AK9" s="130" cm="1">
        <f t="array" ref="AK9">SUMPRODUCT(($C9=CapexCategory)*(AK$3=CapexMonth)*CapexAmount)</f>
        <v>0</v>
      </c>
      <c r="AL9" s="130" cm="1">
        <f t="array" ref="AL9">SUMPRODUCT(($C9=CapexCategory)*(AL$3=CapexMonth)*CapexAmount)</f>
        <v>0</v>
      </c>
      <c r="AM9" s="130" cm="1">
        <f t="array" ref="AM9">SUMPRODUCT(($C9=CapexCategory)*(AM$3=CapexMonth)*CapexAmount)</f>
        <v>0</v>
      </c>
      <c r="AN9" s="130" cm="1">
        <f t="array" ref="AN9">SUMPRODUCT(($C9=CapexCategory)*(AN$3=CapexMonth)*CapexAmount)</f>
        <v>0</v>
      </c>
      <c r="AO9" s="130" cm="1">
        <f t="array" ref="AO9">SUMPRODUCT(($C9=CapexCategory)*(AO$3=CapexMonth)*CapexAmount)</f>
        <v>0</v>
      </c>
      <c r="AP9" s="130" cm="1">
        <f t="array" ref="AP9">SUMPRODUCT(($C9=CapexCategory)*(AP$3=CapexMonth)*CapexAmount)</f>
        <v>0</v>
      </c>
      <c r="AQ9" s="130" cm="1">
        <f t="array" ref="AQ9">SUMPRODUCT(($C9=CapexCategory)*(AQ$3=CapexMonth)*CapexAmount)</f>
        <v>0</v>
      </c>
      <c r="AR9" s="130" cm="1">
        <f t="array" ref="AR9">SUMPRODUCT(($C9=CapexCategory)*(AR$3=CapexMonth)*CapexAmount)</f>
        <v>0</v>
      </c>
      <c r="AS9" s="130" cm="1">
        <f t="array" ref="AS9">SUMPRODUCT(($C9=CapexCategory)*(AS$3=CapexMonth)*CapexAmount)</f>
        <v>0</v>
      </c>
      <c r="AT9" s="128" cm="1">
        <f t="array" ref="AT9">SUMPRODUCT(($C9=CapexCategory)*(AT$3=CapexMonth)*CapexAmount)</f>
        <v>0</v>
      </c>
      <c r="AU9" s="130" cm="1">
        <f t="array" ref="AU9">SUMPRODUCT(($C9=CapexCategory)*(AU$3=CapexMonth)*CapexAmount)</f>
        <v>0</v>
      </c>
      <c r="AV9" s="130" cm="1">
        <f t="array" ref="AV9">SUMPRODUCT(($C9=CapexCategory)*(AV$3=CapexMonth)*CapexAmount)</f>
        <v>0</v>
      </c>
      <c r="AW9" s="130" cm="1">
        <f t="array" ref="AW9">SUMPRODUCT(($C9=CapexCategory)*(AW$3=CapexMonth)*CapexAmount)</f>
        <v>0</v>
      </c>
      <c r="AX9" s="130" cm="1">
        <f t="array" ref="AX9">SUMPRODUCT(($C9=CapexCategory)*(AX$3=CapexMonth)*CapexAmount)</f>
        <v>0</v>
      </c>
      <c r="AY9" s="130" cm="1">
        <f t="array" ref="AY9">SUMPRODUCT(($C9=CapexCategory)*(AY$3=CapexMonth)*CapexAmount)</f>
        <v>0</v>
      </c>
      <c r="AZ9" s="130" cm="1">
        <f t="array" ref="AZ9">SUMPRODUCT(($C9=CapexCategory)*(AZ$3=CapexMonth)*CapexAmount)</f>
        <v>0</v>
      </c>
      <c r="BA9" s="130" cm="1">
        <f t="array" ref="BA9">SUMPRODUCT(($C9=CapexCategory)*(BA$3=CapexMonth)*CapexAmount)</f>
        <v>0</v>
      </c>
      <c r="BB9" s="130" cm="1">
        <f t="array" ref="BB9">SUMPRODUCT(($C9=CapexCategory)*(BB$3=CapexMonth)*CapexAmount)</f>
        <v>0</v>
      </c>
      <c r="BC9" s="130" cm="1">
        <f t="array" ref="BC9">SUMPRODUCT(($C9=CapexCategory)*(BC$3=CapexMonth)*CapexAmount)</f>
        <v>0</v>
      </c>
      <c r="BD9" s="130" cm="1">
        <f t="array" ref="BD9">SUMPRODUCT(($C9=CapexCategory)*(BD$3=CapexMonth)*CapexAmount)</f>
        <v>0</v>
      </c>
      <c r="BE9" s="130" cm="1">
        <f t="array" ref="BE9">SUMPRODUCT(($C9=CapexCategory)*(BE$3=CapexMonth)*CapexAmount)</f>
        <v>0</v>
      </c>
      <c r="BF9" s="128" cm="1">
        <f t="array" ref="BF9">SUMPRODUCT(($C9=CapexCategory)*(BF$3=CapexMonth)*CapexAmount)</f>
        <v>0</v>
      </c>
      <c r="BG9" s="130" cm="1">
        <f t="array" ref="BG9">SUMPRODUCT(($C9=CapexCategory)*(BG$3=CapexMonth)*CapexAmount)</f>
        <v>0</v>
      </c>
      <c r="BH9" s="130" cm="1">
        <f t="array" ref="BH9">SUMPRODUCT(($C9=CapexCategory)*(BH$3=CapexMonth)*CapexAmount)</f>
        <v>0</v>
      </c>
      <c r="BI9" s="130" cm="1">
        <f t="array" ref="BI9">SUMPRODUCT(($C9=CapexCategory)*(BI$3=CapexMonth)*CapexAmount)</f>
        <v>0</v>
      </c>
      <c r="BJ9" s="130" cm="1">
        <f t="array" ref="BJ9">SUMPRODUCT(($C9=CapexCategory)*(BJ$3=CapexMonth)*CapexAmount)</f>
        <v>0</v>
      </c>
      <c r="BK9" s="130" cm="1">
        <f t="array" ref="BK9">SUMPRODUCT(($C9=CapexCategory)*(BK$3=CapexMonth)*CapexAmount)</f>
        <v>0</v>
      </c>
      <c r="BL9" s="130" cm="1">
        <f t="array" ref="BL9">SUMPRODUCT(($C9=CapexCategory)*(BL$3=CapexMonth)*CapexAmount)</f>
        <v>0</v>
      </c>
      <c r="BM9" s="130" cm="1">
        <f t="array" ref="BM9">SUMPRODUCT(($C9=CapexCategory)*(BM$3=CapexMonth)*CapexAmount)</f>
        <v>0</v>
      </c>
      <c r="BN9" s="130" cm="1">
        <f t="array" ref="BN9">SUMPRODUCT(($C9=CapexCategory)*(BN$3=CapexMonth)*CapexAmount)</f>
        <v>0</v>
      </c>
      <c r="BO9" s="130" cm="1">
        <f t="array" ref="BO9">SUMPRODUCT(($C9=CapexCategory)*(BO$3=CapexMonth)*CapexAmount)</f>
        <v>0</v>
      </c>
      <c r="BP9" s="130" cm="1">
        <f t="array" ref="BP9">SUMPRODUCT(($C9=CapexCategory)*(BP$3=CapexMonth)*CapexAmount)</f>
        <v>0</v>
      </c>
      <c r="BQ9" s="130" cm="1">
        <f t="array" ref="BQ9">SUMPRODUCT(($C9=CapexCategory)*(BQ$3=CapexMonth)*CapexAmount)</f>
        <v>0</v>
      </c>
      <c r="BR9" s="128" cm="1">
        <f t="array" ref="BR9">SUMPRODUCT(($C9=CapexCategory)*(BR$3=CapexMonth)*CapexAmount)</f>
        <v>0</v>
      </c>
    </row>
    <row r="10" spans="1:70" ht="13.2" x14ac:dyDescent="0.3">
      <c r="C10" s="111" t="s">
        <v>98</v>
      </c>
      <c r="D10" s="14"/>
      <c r="E10" s="112">
        <f t="shared" si="0"/>
        <v>0</v>
      </c>
      <c r="F10" s="112">
        <f t="shared" si="1"/>
        <v>0</v>
      </c>
      <c r="G10" s="112">
        <f t="shared" si="2"/>
        <v>0</v>
      </c>
      <c r="H10" s="112">
        <f t="shared" si="3"/>
        <v>0</v>
      </c>
      <c r="I10" s="112">
        <f t="shared" si="4"/>
        <v>0</v>
      </c>
      <c r="J10" s="129"/>
      <c r="K10" s="99" cm="1">
        <f t="array" ref="K10">SUMPRODUCT(  ((ISBLANK(CapexCategory) + (CapexCategory="Other"))&gt;0)  *  (K$3=CapexMonth)*CapexAmount)</f>
        <v>0</v>
      </c>
      <c r="L10" s="99" cm="1">
        <f t="array" ref="L10">SUMPRODUCT(  ((ISBLANK(CapexCategory) + (CapexCategory="Other"))&gt;0)  *  (L$3=CapexMonth)*CapexAmount)</f>
        <v>0</v>
      </c>
      <c r="M10" s="99" cm="1">
        <f t="array" ref="M10">SUMPRODUCT(  ((ISBLANK(CapexCategory) + (CapexCategory="Other"))&gt;0)  *  (M$3=CapexMonth)*CapexAmount)</f>
        <v>0</v>
      </c>
      <c r="N10" s="99" cm="1">
        <f t="array" ref="N10">SUMPRODUCT(  ((ISBLANK(CapexCategory) + (CapexCategory="Other"))&gt;0)  *  (N$3=CapexMonth)*CapexAmount)</f>
        <v>0</v>
      </c>
      <c r="O10" s="99" cm="1">
        <f t="array" ref="O10">SUMPRODUCT(  ((ISBLANK(CapexCategory) + (CapexCategory="Other"))&gt;0)  *  (O$3=CapexMonth)*CapexAmount)</f>
        <v>0</v>
      </c>
      <c r="P10" s="99" cm="1">
        <f t="array" ref="P10">SUMPRODUCT(  ((ISBLANK(CapexCategory) + (CapexCategory="Other"))&gt;0)  *  (P$3=CapexMonth)*CapexAmount)</f>
        <v>0</v>
      </c>
      <c r="Q10" s="99" cm="1">
        <f t="array" ref="Q10">SUMPRODUCT(  ((ISBLANK(CapexCategory) + (CapexCategory="Other"))&gt;0)  *  (Q$3=CapexMonth)*CapexAmount)</f>
        <v>0</v>
      </c>
      <c r="R10" s="99" cm="1">
        <f t="array" ref="R10">SUMPRODUCT(  ((ISBLANK(CapexCategory) + (CapexCategory="Other"))&gt;0)  *  (R$3=CapexMonth)*CapexAmount)</f>
        <v>0</v>
      </c>
      <c r="S10" s="99" cm="1">
        <f t="array" ref="S10">SUMPRODUCT(  ((ISBLANK(CapexCategory) + (CapexCategory="Other"))&gt;0)  *  (S$3=CapexMonth)*CapexAmount)</f>
        <v>0</v>
      </c>
      <c r="T10" s="99" cm="1">
        <f t="array" ref="T10">SUMPRODUCT(  ((ISBLANK(CapexCategory) + (CapexCategory="Other"))&gt;0)  *  (T$3=CapexMonth)*CapexAmount)</f>
        <v>0</v>
      </c>
      <c r="U10" s="99" cm="1">
        <f t="array" ref="U10">SUMPRODUCT(  ((ISBLANK(CapexCategory) + (CapexCategory="Other"))&gt;0)  *  (U$3=CapexMonth)*CapexAmount)</f>
        <v>0</v>
      </c>
      <c r="V10" s="112" cm="1">
        <f t="array" ref="V10">SUMPRODUCT(  ((ISBLANK(CapexCategory) + (CapexCategory="Other"))&gt;0)  *  (V$3=CapexMonth)*CapexAmount)</f>
        <v>0</v>
      </c>
      <c r="W10" s="99" cm="1">
        <f t="array" ref="W10">SUMPRODUCT(  ((ISBLANK(CapexCategory) + (CapexCategory="Other"))&gt;0)  *  (W$3=CapexMonth)*CapexAmount)</f>
        <v>0</v>
      </c>
      <c r="X10" s="99" cm="1">
        <f t="array" ref="X10">SUMPRODUCT(  ((ISBLANK(CapexCategory) + (CapexCategory="Other"))&gt;0)  *  (X$3=CapexMonth)*CapexAmount)</f>
        <v>0</v>
      </c>
      <c r="Y10" s="99" cm="1">
        <f t="array" ref="Y10">SUMPRODUCT(  ((ISBLANK(CapexCategory) + (CapexCategory="Other"))&gt;0)  *  (Y$3=CapexMonth)*CapexAmount)</f>
        <v>0</v>
      </c>
      <c r="Z10" s="99" cm="1">
        <f t="array" ref="Z10">SUMPRODUCT(  ((ISBLANK(CapexCategory) + (CapexCategory="Other"))&gt;0)  *  (Z$3=CapexMonth)*CapexAmount)</f>
        <v>0</v>
      </c>
      <c r="AA10" s="99" cm="1">
        <f t="array" ref="AA10">SUMPRODUCT(  ((ISBLANK(CapexCategory) + (CapexCategory="Other"))&gt;0)  *  (AA$3=CapexMonth)*CapexAmount)</f>
        <v>0</v>
      </c>
      <c r="AB10" s="99" cm="1">
        <f t="array" ref="AB10">SUMPRODUCT(  ((ISBLANK(CapexCategory) + (CapexCategory="Other"))&gt;0)  *  (AB$3=CapexMonth)*CapexAmount)</f>
        <v>0</v>
      </c>
      <c r="AC10" s="99" cm="1">
        <f t="array" ref="AC10">SUMPRODUCT(  ((ISBLANK(CapexCategory) + (CapexCategory="Other"))&gt;0)  *  (AC$3=CapexMonth)*CapexAmount)</f>
        <v>0</v>
      </c>
      <c r="AD10" s="99" cm="1">
        <f t="array" ref="AD10">SUMPRODUCT(  ((ISBLANK(CapexCategory) + (CapexCategory="Other"))&gt;0)  *  (AD$3=CapexMonth)*CapexAmount)</f>
        <v>0</v>
      </c>
      <c r="AE10" s="99" cm="1">
        <f t="array" ref="AE10">SUMPRODUCT(  ((ISBLANK(CapexCategory) + (CapexCategory="Other"))&gt;0)  *  (AE$3=CapexMonth)*CapexAmount)</f>
        <v>0</v>
      </c>
      <c r="AF10" s="99" cm="1">
        <f t="array" ref="AF10">SUMPRODUCT(  ((ISBLANK(CapexCategory) + (CapexCategory="Other"))&gt;0)  *  (AF$3=CapexMonth)*CapexAmount)</f>
        <v>0</v>
      </c>
      <c r="AG10" s="99" cm="1">
        <f t="array" ref="AG10">SUMPRODUCT(  ((ISBLANK(CapexCategory) + (CapexCategory="Other"))&gt;0)  *  (AG$3=CapexMonth)*CapexAmount)</f>
        <v>0</v>
      </c>
      <c r="AH10" s="112" cm="1">
        <f t="array" ref="AH10">SUMPRODUCT(  ((ISBLANK(CapexCategory) + (CapexCategory="Other"))&gt;0)  *  (AH$3=CapexMonth)*CapexAmount)</f>
        <v>0</v>
      </c>
      <c r="AI10" s="99" cm="1">
        <f t="array" ref="AI10">SUMPRODUCT(  ((ISBLANK(CapexCategory) + (CapexCategory="Other"))&gt;0)  *  (AI$3=CapexMonth)*CapexAmount)</f>
        <v>0</v>
      </c>
      <c r="AJ10" s="99" cm="1">
        <f t="array" ref="AJ10">SUMPRODUCT(  ((ISBLANK(CapexCategory) + (CapexCategory="Other"))&gt;0)  *  (AJ$3=CapexMonth)*CapexAmount)</f>
        <v>0</v>
      </c>
      <c r="AK10" s="99" cm="1">
        <f t="array" ref="AK10">SUMPRODUCT(  ((ISBLANK(CapexCategory) + (CapexCategory="Other"))&gt;0)  *  (AK$3=CapexMonth)*CapexAmount)</f>
        <v>0</v>
      </c>
      <c r="AL10" s="99" cm="1">
        <f t="array" ref="AL10">SUMPRODUCT(  ((ISBLANK(CapexCategory) + (CapexCategory="Other"))&gt;0)  *  (AL$3=CapexMonth)*CapexAmount)</f>
        <v>0</v>
      </c>
      <c r="AM10" s="99" cm="1">
        <f t="array" ref="AM10">SUMPRODUCT(  ((ISBLANK(CapexCategory) + (CapexCategory="Other"))&gt;0)  *  (AM$3=CapexMonth)*CapexAmount)</f>
        <v>0</v>
      </c>
      <c r="AN10" s="99" cm="1">
        <f t="array" ref="AN10">SUMPRODUCT(  ((ISBLANK(CapexCategory) + (CapexCategory="Other"))&gt;0)  *  (AN$3=CapexMonth)*CapexAmount)</f>
        <v>0</v>
      </c>
      <c r="AO10" s="99" cm="1">
        <f t="array" ref="AO10">SUMPRODUCT(  ((ISBLANK(CapexCategory) + (CapexCategory="Other"))&gt;0)  *  (AO$3=CapexMonth)*CapexAmount)</f>
        <v>0</v>
      </c>
      <c r="AP10" s="99" cm="1">
        <f t="array" ref="AP10">SUMPRODUCT(  ((ISBLANK(CapexCategory) + (CapexCategory="Other"))&gt;0)  *  (AP$3=CapexMonth)*CapexAmount)</f>
        <v>0</v>
      </c>
      <c r="AQ10" s="99" cm="1">
        <f t="array" ref="AQ10">SUMPRODUCT(  ((ISBLANK(CapexCategory) + (CapexCategory="Other"))&gt;0)  *  (AQ$3=CapexMonth)*CapexAmount)</f>
        <v>0</v>
      </c>
      <c r="AR10" s="99" cm="1">
        <f t="array" ref="AR10">SUMPRODUCT(  ((ISBLANK(CapexCategory) + (CapexCategory="Other"))&gt;0)  *  (AR$3=CapexMonth)*CapexAmount)</f>
        <v>0</v>
      </c>
      <c r="AS10" s="99" cm="1">
        <f t="array" ref="AS10">SUMPRODUCT(  ((ISBLANK(CapexCategory) + (CapexCategory="Other"))&gt;0)  *  (AS$3=CapexMonth)*CapexAmount)</f>
        <v>0</v>
      </c>
      <c r="AT10" s="112" cm="1">
        <f t="array" ref="AT10">SUMPRODUCT(  ((ISBLANK(CapexCategory) + (CapexCategory="Other"))&gt;0)  *  (AT$3=CapexMonth)*CapexAmount)</f>
        <v>0</v>
      </c>
      <c r="AU10" s="99" cm="1">
        <f t="array" ref="AU10">SUMPRODUCT(  ((ISBLANK(CapexCategory) + (CapexCategory="Other"))&gt;0)  *  (AU$3=CapexMonth)*CapexAmount)</f>
        <v>0</v>
      </c>
      <c r="AV10" s="99" cm="1">
        <f t="array" ref="AV10">SUMPRODUCT(  ((ISBLANK(CapexCategory) + (CapexCategory="Other"))&gt;0)  *  (AV$3=CapexMonth)*CapexAmount)</f>
        <v>0</v>
      </c>
      <c r="AW10" s="99" cm="1">
        <f t="array" ref="AW10">SUMPRODUCT(  ((ISBLANK(CapexCategory) + (CapexCategory="Other"))&gt;0)  *  (AW$3=CapexMonth)*CapexAmount)</f>
        <v>0</v>
      </c>
      <c r="AX10" s="99" cm="1">
        <f t="array" ref="AX10">SUMPRODUCT(  ((ISBLANK(CapexCategory) + (CapexCategory="Other"))&gt;0)  *  (AX$3=CapexMonth)*CapexAmount)</f>
        <v>0</v>
      </c>
      <c r="AY10" s="99" cm="1">
        <f t="array" ref="AY10">SUMPRODUCT(  ((ISBLANK(CapexCategory) + (CapexCategory="Other"))&gt;0)  *  (AY$3=CapexMonth)*CapexAmount)</f>
        <v>0</v>
      </c>
      <c r="AZ10" s="99" cm="1">
        <f t="array" ref="AZ10">SUMPRODUCT(  ((ISBLANK(CapexCategory) + (CapexCategory="Other"))&gt;0)  *  (AZ$3=CapexMonth)*CapexAmount)</f>
        <v>0</v>
      </c>
      <c r="BA10" s="99" cm="1">
        <f t="array" ref="BA10">SUMPRODUCT(  ((ISBLANK(CapexCategory) + (CapexCategory="Other"))&gt;0)  *  (BA$3=CapexMonth)*CapexAmount)</f>
        <v>0</v>
      </c>
      <c r="BB10" s="99" cm="1">
        <f t="array" ref="BB10">SUMPRODUCT(  ((ISBLANK(CapexCategory) + (CapexCategory="Other"))&gt;0)  *  (BB$3=CapexMonth)*CapexAmount)</f>
        <v>0</v>
      </c>
      <c r="BC10" s="99" cm="1">
        <f t="array" ref="BC10">SUMPRODUCT(  ((ISBLANK(CapexCategory) + (CapexCategory="Other"))&gt;0)  *  (BC$3=CapexMonth)*CapexAmount)</f>
        <v>0</v>
      </c>
      <c r="BD10" s="99" cm="1">
        <f t="array" ref="BD10">SUMPRODUCT(  ((ISBLANK(CapexCategory) + (CapexCategory="Other"))&gt;0)  *  (BD$3=CapexMonth)*CapexAmount)</f>
        <v>0</v>
      </c>
      <c r="BE10" s="99" cm="1">
        <f t="array" ref="BE10">SUMPRODUCT(  ((ISBLANK(CapexCategory) + (CapexCategory="Other"))&gt;0)  *  (BE$3=CapexMonth)*CapexAmount)</f>
        <v>0</v>
      </c>
      <c r="BF10" s="112" cm="1">
        <f t="array" ref="BF10">SUMPRODUCT(  ((ISBLANK(CapexCategory) + (CapexCategory="Other"))&gt;0)  *  (BF$3=CapexMonth)*CapexAmount)</f>
        <v>0</v>
      </c>
      <c r="BG10" s="99" cm="1">
        <f t="array" ref="BG10">SUMPRODUCT(  ((ISBLANK(CapexCategory) + (CapexCategory="Other"))&gt;0)  *  (BG$3=CapexMonth)*CapexAmount)</f>
        <v>0</v>
      </c>
      <c r="BH10" s="99" cm="1">
        <f t="array" ref="BH10">SUMPRODUCT(  ((ISBLANK(CapexCategory) + (CapexCategory="Other"))&gt;0)  *  (BH$3=CapexMonth)*CapexAmount)</f>
        <v>0</v>
      </c>
      <c r="BI10" s="99" cm="1">
        <f t="array" ref="BI10">SUMPRODUCT(  ((ISBLANK(CapexCategory) + (CapexCategory="Other"))&gt;0)  *  (BI$3=CapexMonth)*CapexAmount)</f>
        <v>0</v>
      </c>
      <c r="BJ10" s="99" cm="1">
        <f t="array" ref="BJ10">SUMPRODUCT(  ((ISBLANK(CapexCategory) + (CapexCategory="Other"))&gt;0)  *  (BJ$3=CapexMonth)*CapexAmount)</f>
        <v>0</v>
      </c>
      <c r="BK10" s="99" cm="1">
        <f t="array" ref="BK10">SUMPRODUCT(  ((ISBLANK(CapexCategory) + (CapexCategory="Other"))&gt;0)  *  (BK$3=CapexMonth)*CapexAmount)</f>
        <v>0</v>
      </c>
      <c r="BL10" s="99" cm="1">
        <f t="array" ref="BL10">SUMPRODUCT(  ((ISBLANK(CapexCategory) + (CapexCategory="Other"))&gt;0)  *  (BL$3=CapexMonth)*CapexAmount)</f>
        <v>0</v>
      </c>
      <c r="BM10" s="99" cm="1">
        <f t="array" ref="BM10">SUMPRODUCT(  ((ISBLANK(CapexCategory) + (CapexCategory="Other"))&gt;0)  *  (BM$3=CapexMonth)*CapexAmount)</f>
        <v>0</v>
      </c>
      <c r="BN10" s="99" cm="1">
        <f t="array" ref="BN10">SUMPRODUCT(  ((ISBLANK(CapexCategory) + (CapexCategory="Other"))&gt;0)  *  (BN$3=CapexMonth)*CapexAmount)</f>
        <v>0</v>
      </c>
      <c r="BO10" s="99" cm="1">
        <f t="array" ref="BO10">SUMPRODUCT(  ((ISBLANK(CapexCategory) + (CapexCategory="Other"))&gt;0)  *  (BO$3=CapexMonth)*CapexAmount)</f>
        <v>0</v>
      </c>
      <c r="BP10" s="99" cm="1">
        <f t="array" ref="BP10">SUMPRODUCT(  ((ISBLANK(CapexCategory) + (CapexCategory="Other"))&gt;0)  *  (BP$3=CapexMonth)*CapexAmount)</f>
        <v>0</v>
      </c>
      <c r="BQ10" s="99" cm="1">
        <f t="array" ref="BQ10">SUMPRODUCT(  ((ISBLANK(CapexCategory) + (CapexCategory="Other"))&gt;0)  *  (BQ$3=CapexMonth)*CapexAmount)</f>
        <v>0</v>
      </c>
      <c r="BR10" s="112" cm="1">
        <f t="array" ref="BR10">SUMPRODUCT(  ((ISBLANK(CapexCategory) + (CapexCategory="Other"))&gt;0)  *  (BR$3=CapexMonth)*CapexAmount)</f>
        <v>0</v>
      </c>
    </row>
    <row r="11" spans="1:70" s="49" customFormat="1" ht="13.2" x14ac:dyDescent="0.3">
      <c r="A11" s="37"/>
      <c r="B11" s="13"/>
      <c r="C11" s="49" t="s">
        <v>11</v>
      </c>
      <c r="D11" s="77"/>
      <c r="E11" s="96">
        <f t="shared" si="0"/>
        <v>154</v>
      </c>
      <c r="F11" s="96">
        <f t="shared" si="1"/>
        <v>0</v>
      </c>
      <c r="G11" s="96">
        <f t="shared" si="2"/>
        <v>0</v>
      </c>
      <c r="H11" s="96">
        <f t="shared" si="3"/>
        <v>0</v>
      </c>
      <c r="I11" s="96">
        <f t="shared" si="4"/>
        <v>0</v>
      </c>
      <c r="J11" s="129"/>
      <c r="K11" s="97">
        <f t="shared" ref="K11:BR11" si="5">SUM(K5:K10)</f>
        <v>4</v>
      </c>
      <c r="L11" s="97">
        <f t="shared" si="5"/>
        <v>0</v>
      </c>
      <c r="M11" s="97">
        <f t="shared" si="5"/>
        <v>50</v>
      </c>
      <c r="N11" s="97">
        <f t="shared" si="5"/>
        <v>0</v>
      </c>
      <c r="O11" s="97">
        <f t="shared" si="5"/>
        <v>0</v>
      </c>
      <c r="P11" s="97">
        <f t="shared" si="5"/>
        <v>100</v>
      </c>
      <c r="Q11" s="97">
        <f t="shared" si="5"/>
        <v>0</v>
      </c>
      <c r="R11" s="97">
        <f t="shared" si="5"/>
        <v>0</v>
      </c>
      <c r="S11" s="97">
        <f t="shared" si="5"/>
        <v>0</v>
      </c>
      <c r="T11" s="97">
        <f t="shared" si="5"/>
        <v>0</v>
      </c>
      <c r="U11" s="97">
        <f t="shared" si="5"/>
        <v>0</v>
      </c>
      <c r="V11" s="96">
        <f t="shared" si="5"/>
        <v>0</v>
      </c>
      <c r="W11" s="97">
        <f t="shared" si="5"/>
        <v>0</v>
      </c>
      <c r="X11" s="97">
        <f t="shared" si="5"/>
        <v>0</v>
      </c>
      <c r="Y11" s="97">
        <f t="shared" si="5"/>
        <v>0</v>
      </c>
      <c r="Z11" s="97">
        <f t="shared" si="5"/>
        <v>0</v>
      </c>
      <c r="AA11" s="97">
        <f t="shared" si="5"/>
        <v>0</v>
      </c>
      <c r="AB11" s="97">
        <f t="shared" si="5"/>
        <v>0</v>
      </c>
      <c r="AC11" s="97">
        <f t="shared" si="5"/>
        <v>0</v>
      </c>
      <c r="AD11" s="97">
        <f t="shared" si="5"/>
        <v>0</v>
      </c>
      <c r="AE11" s="97">
        <f t="shared" si="5"/>
        <v>0</v>
      </c>
      <c r="AF11" s="97">
        <f t="shared" si="5"/>
        <v>0</v>
      </c>
      <c r="AG11" s="97">
        <f t="shared" si="5"/>
        <v>0</v>
      </c>
      <c r="AH11" s="96">
        <f t="shared" si="5"/>
        <v>0</v>
      </c>
      <c r="AI11" s="97">
        <f t="shared" si="5"/>
        <v>0</v>
      </c>
      <c r="AJ11" s="97">
        <f t="shared" si="5"/>
        <v>0</v>
      </c>
      <c r="AK11" s="97">
        <f t="shared" si="5"/>
        <v>0</v>
      </c>
      <c r="AL11" s="97">
        <f t="shared" si="5"/>
        <v>0</v>
      </c>
      <c r="AM11" s="97">
        <f t="shared" si="5"/>
        <v>0</v>
      </c>
      <c r="AN11" s="97">
        <f t="shared" si="5"/>
        <v>0</v>
      </c>
      <c r="AO11" s="97">
        <f t="shared" si="5"/>
        <v>0</v>
      </c>
      <c r="AP11" s="97">
        <f t="shared" si="5"/>
        <v>0</v>
      </c>
      <c r="AQ11" s="97">
        <f t="shared" si="5"/>
        <v>0</v>
      </c>
      <c r="AR11" s="97">
        <f t="shared" si="5"/>
        <v>0</v>
      </c>
      <c r="AS11" s="97">
        <f t="shared" si="5"/>
        <v>0</v>
      </c>
      <c r="AT11" s="96">
        <f t="shared" si="5"/>
        <v>0</v>
      </c>
      <c r="AU11" s="97">
        <f t="shared" si="5"/>
        <v>0</v>
      </c>
      <c r="AV11" s="97">
        <f t="shared" si="5"/>
        <v>0</v>
      </c>
      <c r="AW11" s="97">
        <f t="shared" si="5"/>
        <v>0</v>
      </c>
      <c r="AX11" s="97">
        <f t="shared" si="5"/>
        <v>0</v>
      </c>
      <c r="AY11" s="97">
        <f t="shared" si="5"/>
        <v>0</v>
      </c>
      <c r="AZ11" s="97">
        <f t="shared" si="5"/>
        <v>0</v>
      </c>
      <c r="BA11" s="97">
        <f t="shared" si="5"/>
        <v>0</v>
      </c>
      <c r="BB11" s="97">
        <f t="shared" si="5"/>
        <v>0</v>
      </c>
      <c r="BC11" s="97">
        <f t="shared" si="5"/>
        <v>0</v>
      </c>
      <c r="BD11" s="97">
        <f t="shared" si="5"/>
        <v>0</v>
      </c>
      <c r="BE11" s="97">
        <f t="shared" si="5"/>
        <v>0</v>
      </c>
      <c r="BF11" s="96">
        <f t="shared" si="5"/>
        <v>0</v>
      </c>
      <c r="BG11" s="97">
        <f t="shared" si="5"/>
        <v>0</v>
      </c>
      <c r="BH11" s="97">
        <f t="shared" si="5"/>
        <v>0</v>
      </c>
      <c r="BI11" s="97">
        <f t="shared" si="5"/>
        <v>0</v>
      </c>
      <c r="BJ11" s="97">
        <f t="shared" si="5"/>
        <v>0</v>
      </c>
      <c r="BK11" s="97">
        <f t="shared" si="5"/>
        <v>0</v>
      </c>
      <c r="BL11" s="97">
        <f t="shared" si="5"/>
        <v>0</v>
      </c>
      <c r="BM11" s="97">
        <f t="shared" si="5"/>
        <v>0</v>
      </c>
      <c r="BN11" s="97">
        <f t="shared" si="5"/>
        <v>0</v>
      </c>
      <c r="BO11" s="97">
        <f t="shared" si="5"/>
        <v>0</v>
      </c>
      <c r="BP11" s="97">
        <f t="shared" si="5"/>
        <v>0</v>
      </c>
      <c r="BQ11" s="97">
        <f t="shared" si="5"/>
        <v>0</v>
      </c>
      <c r="BR11" s="96">
        <f t="shared" si="5"/>
        <v>0</v>
      </c>
    </row>
    <row r="12" spans="1:70" ht="6" customHeight="1" x14ac:dyDescent="0.3">
      <c r="E12" s="113"/>
      <c r="F12" s="113"/>
      <c r="G12" s="113"/>
      <c r="H12" s="113"/>
      <c r="I12" s="113"/>
      <c r="J12" s="129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</row>
    <row r="13" spans="1:70" ht="13.2" x14ac:dyDescent="0.3">
      <c r="C13" s="61" t="s">
        <v>93</v>
      </c>
      <c r="D13" s="14"/>
      <c r="E13" s="176">
        <f>SUM(K13:V13)</f>
        <v>0</v>
      </c>
      <c r="F13" s="176">
        <f t="shared" ref="F13:F16" si="6">SUM(W13:AH13)</f>
        <v>0</v>
      </c>
      <c r="G13" s="176">
        <f t="shared" ref="G13:G16" si="7">SUM(AI13:AT13)</f>
        <v>0</v>
      </c>
      <c r="H13" s="176">
        <f t="shared" ref="H13:H16" si="8">SUM(AU13:BF13)</f>
        <v>0</v>
      </c>
      <c r="I13" s="176">
        <f t="shared" ref="I13:I16" si="9">SUM(BG13:BR13)</f>
        <v>0</v>
      </c>
      <c r="J13" s="129"/>
      <c r="K13" s="130" cm="1">
        <f t="array" ref="K13">SUMPRODUCT(( $C13=CapexCategory)*(K$3&gt;=CapexMonth)*(K$3&lt;=DeprecStop)*DeprecExp)</f>
        <v>0</v>
      </c>
      <c r="L13" s="130" cm="1">
        <f t="array" ref="L13">SUMPRODUCT(( $C13=CapexCategory)*(L$3&gt;=CapexMonth)*(L$3&lt;=DeprecStop)*DeprecExp)</f>
        <v>0</v>
      </c>
      <c r="M13" s="130" cm="1">
        <f t="array" ref="M13">SUMPRODUCT(( $C13=CapexCategory)*(M$3&gt;=CapexMonth)*(M$3&lt;=DeprecStop)*DeprecExp)</f>
        <v>0</v>
      </c>
      <c r="N13" s="130" cm="1">
        <f t="array" ref="N13">SUMPRODUCT(( $C13=CapexCategory)*(N$3&gt;=CapexMonth)*(N$3&lt;=DeprecStop)*DeprecExp)</f>
        <v>0</v>
      </c>
      <c r="O13" s="130" cm="1">
        <f t="array" ref="O13">SUMPRODUCT(( $C13=CapexCategory)*(O$3&gt;=CapexMonth)*(O$3&lt;=DeprecStop)*DeprecExp)</f>
        <v>0</v>
      </c>
      <c r="P13" s="130" cm="1">
        <f t="array" ref="P13">SUMPRODUCT(( $C13=CapexCategory)*(P$3&gt;=CapexMonth)*(P$3&lt;=DeprecStop)*DeprecExp)</f>
        <v>0</v>
      </c>
      <c r="Q13" s="130" cm="1">
        <f t="array" ref="Q13">SUMPRODUCT(( $C13=CapexCategory)*(Q$3&gt;=CapexMonth)*(Q$3&lt;=DeprecStop)*DeprecExp)</f>
        <v>0</v>
      </c>
      <c r="R13" s="130" cm="1">
        <f t="array" ref="R13">SUMPRODUCT(( $C13=CapexCategory)*(R$3&gt;=CapexMonth)*(R$3&lt;=DeprecStop)*DeprecExp)</f>
        <v>0</v>
      </c>
      <c r="S13" s="130" cm="1">
        <f t="array" ref="S13">SUMPRODUCT(( $C13=CapexCategory)*(S$3&gt;=CapexMonth)*(S$3&lt;=DeprecStop)*DeprecExp)</f>
        <v>0</v>
      </c>
      <c r="T13" s="130" cm="1">
        <f t="array" ref="T13">SUMPRODUCT(( $C13=CapexCategory)*(T$3&gt;=CapexMonth)*(T$3&lt;=DeprecStop)*DeprecExp)</f>
        <v>0</v>
      </c>
      <c r="U13" s="130" cm="1">
        <f t="array" ref="U13">SUMPRODUCT(( $C13=CapexCategory)*(U$3&gt;=CapexMonth)*(U$3&lt;=DeprecStop)*DeprecExp)</f>
        <v>0</v>
      </c>
      <c r="V13" s="128" cm="1">
        <f t="array" ref="V13">SUMPRODUCT(( $C13=CapexCategory)*(V$3&gt;=CapexMonth)*(V$3&lt;=DeprecStop)*DeprecExp)</f>
        <v>0</v>
      </c>
      <c r="W13" s="130" cm="1">
        <f t="array" ref="W13">SUMPRODUCT(( $C13=CapexCategory)*(W$3&gt;=CapexMonth)*(W$3&lt;=DeprecStop)*DeprecExp)</f>
        <v>0</v>
      </c>
      <c r="X13" s="130" cm="1">
        <f t="array" ref="X13">SUMPRODUCT(( $C13=CapexCategory)*(X$3&gt;=CapexMonth)*(X$3&lt;=DeprecStop)*DeprecExp)</f>
        <v>0</v>
      </c>
      <c r="Y13" s="130" cm="1">
        <f t="array" ref="Y13">SUMPRODUCT(( $C13=CapexCategory)*(Y$3&gt;=CapexMonth)*(Y$3&lt;=DeprecStop)*DeprecExp)</f>
        <v>0</v>
      </c>
      <c r="Z13" s="130" cm="1">
        <f t="array" ref="Z13">SUMPRODUCT(( $C13=CapexCategory)*(Z$3&gt;=CapexMonth)*(Z$3&lt;=DeprecStop)*DeprecExp)</f>
        <v>0</v>
      </c>
      <c r="AA13" s="130" cm="1">
        <f t="array" ref="AA13">SUMPRODUCT(( $C13=CapexCategory)*(AA$3&gt;=CapexMonth)*(AA$3&lt;=DeprecStop)*DeprecExp)</f>
        <v>0</v>
      </c>
      <c r="AB13" s="130" cm="1">
        <f t="array" ref="AB13">SUMPRODUCT(( $C13=CapexCategory)*(AB$3&gt;=CapexMonth)*(AB$3&lt;=DeprecStop)*DeprecExp)</f>
        <v>0</v>
      </c>
      <c r="AC13" s="130" cm="1">
        <f t="array" ref="AC13">SUMPRODUCT(( $C13=CapexCategory)*(AC$3&gt;=CapexMonth)*(AC$3&lt;=DeprecStop)*DeprecExp)</f>
        <v>0</v>
      </c>
      <c r="AD13" s="130" cm="1">
        <f t="array" ref="AD13">SUMPRODUCT(( $C13=CapexCategory)*(AD$3&gt;=CapexMonth)*(AD$3&lt;=DeprecStop)*DeprecExp)</f>
        <v>0</v>
      </c>
      <c r="AE13" s="130" cm="1">
        <f t="array" ref="AE13">SUMPRODUCT(( $C13=CapexCategory)*(AE$3&gt;=CapexMonth)*(AE$3&lt;=DeprecStop)*DeprecExp)</f>
        <v>0</v>
      </c>
      <c r="AF13" s="130" cm="1">
        <f t="array" ref="AF13">SUMPRODUCT(( $C13=CapexCategory)*(AF$3&gt;=CapexMonth)*(AF$3&lt;=DeprecStop)*DeprecExp)</f>
        <v>0</v>
      </c>
      <c r="AG13" s="130" cm="1">
        <f t="array" ref="AG13">SUMPRODUCT(( $C13=CapexCategory)*(AG$3&gt;=CapexMonth)*(AG$3&lt;=DeprecStop)*DeprecExp)</f>
        <v>0</v>
      </c>
      <c r="AH13" s="128" cm="1">
        <f t="array" ref="AH13">SUMPRODUCT(( $C13=CapexCategory)*(AH$3&gt;=CapexMonth)*(AH$3&lt;=DeprecStop)*DeprecExp)</f>
        <v>0</v>
      </c>
      <c r="AI13" s="130" cm="1">
        <f t="array" ref="AI13">SUMPRODUCT(( $C13=CapexCategory)*(AI$3&gt;=CapexMonth)*(AI$3&lt;=DeprecStop)*DeprecExp)</f>
        <v>0</v>
      </c>
      <c r="AJ13" s="130" cm="1">
        <f t="array" ref="AJ13">SUMPRODUCT(( $C13=CapexCategory)*(AJ$3&gt;=CapexMonth)*(AJ$3&lt;=DeprecStop)*DeprecExp)</f>
        <v>0</v>
      </c>
      <c r="AK13" s="130" cm="1">
        <f t="array" ref="AK13">SUMPRODUCT(( $C13=CapexCategory)*(AK$3&gt;=CapexMonth)*(AK$3&lt;=DeprecStop)*DeprecExp)</f>
        <v>0</v>
      </c>
      <c r="AL13" s="130" cm="1">
        <f t="array" ref="AL13">SUMPRODUCT(( $C13=CapexCategory)*(AL$3&gt;=CapexMonth)*(AL$3&lt;=DeprecStop)*DeprecExp)</f>
        <v>0</v>
      </c>
      <c r="AM13" s="130" cm="1">
        <f t="array" ref="AM13">SUMPRODUCT(( $C13=CapexCategory)*(AM$3&gt;=CapexMonth)*(AM$3&lt;=DeprecStop)*DeprecExp)</f>
        <v>0</v>
      </c>
      <c r="AN13" s="130" cm="1">
        <f t="array" ref="AN13">SUMPRODUCT(( $C13=CapexCategory)*(AN$3&gt;=CapexMonth)*(AN$3&lt;=DeprecStop)*DeprecExp)</f>
        <v>0</v>
      </c>
      <c r="AO13" s="130" cm="1">
        <f t="array" ref="AO13">SUMPRODUCT(( $C13=CapexCategory)*(AO$3&gt;=CapexMonth)*(AO$3&lt;=DeprecStop)*DeprecExp)</f>
        <v>0</v>
      </c>
      <c r="AP13" s="130" cm="1">
        <f t="array" ref="AP13">SUMPRODUCT(( $C13=CapexCategory)*(AP$3&gt;=CapexMonth)*(AP$3&lt;=DeprecStop)*DeprecExp)</f>
        <v>0</v>
      </c>
      <c r="AQ13" s="130" cm="1">
        <f t="array" ref="AQ13">SUMPRODUCT(( $C13=CapexCategory)*(AQ$3&gt;=CapexMonth)*(AQ$3&lt;=DeprecStop)*DeprecExp)</f>
        <v>0</v>
      </c>
      <c r="AR13" s="130" cm="1">
        <f t="array" ref="AR13">SUMPRODUCT(( $C13=CapexCategory)*(AR$3&gt;=CapexMonth)*(AR$3&lt;=DeprecStop)*DeprecExp)</f>
        <v>0</v>
      </c>
      <c r="AS13" s="130" cm="1">
        <f t="array" ref="AS13">SUMPRODUCT(( $C13=CapexCategory)*(AS$3&gt;=CapexMonth)*(AS$3&lt;=DeprecStop)*DeprecExp)</f>
        <v>0</v>
      </c>
      <c r="AT13" s="128" cm="1">
        <f t="array" ref="AT13">SUMPRODUCT(( $C13=CapexCategory)*(AT$3&gt;=CapexMonth)*(AT$3&lt;=DeprecStop)*DeprecExp)</f>
        <v>0</v>
      </c>
      <c r="AU13" s="130" cm="1">
        <f t="array" ref="AU13">SUMPRODUCT(( $C13=CapexCategory)*(AU$3&gt;=CapexMonth)*(AU$3&lt;=DeprecStop)*DeprecExp)</f>
        <v>0</v>
      </c>
      <c r="AV13" s="130" cm="1">
        <f t="array" ref="AV13">SUMPRODUCT(( $C13=CapexCategory)*(AV$3&gt;=CapexMonth)*(AV$3&lt;=DeprecStop)*DeprecExp)</f>
        <v>0</v>
      </c>
      <c r="AW13" s="130" cm="1">
        <f t="array" ref="AW13">SUMPRODUCT(( $C13=CapexCategory)*(AW$3&gt;=CapexMonth)*(AW$3&lt;=DeprecStop)*DeprecExp)</f>
        <v>0</v>
      </c>
      <c r="AX13" s="130" cm="1">
        <f t="array" ref="AX13">SUMPRODUCT(( $C13=CapexCategory)*(AX$3&gt;=CapexMonth)*(AX$3&lt;=DeprecStop)*DeprecExp)</f>
        <v>0</v>
      </c>
      <c r="AY13" s="130" cm="1">
        <f t="array" ref="AY13">SUMPRODUCT(( $C13=CapexCategory)*(AY$3&gt;=CapexMonth)*(AY$3&lt;=DeprecStop)*DeprecExp)</f>
        <v>0</v>
      </c>
      <c r="AZ13" s="130" cm="1">
        <f t="array" ref="AZ13">SUMPRODUCT(( $C13=CapexCategory)*(AZ$3&gt;=CapexMonth)*(AZ$3&lt;=DeprecStop)*DeprecExp)</f>
        <v>0</v>
      </c>
      <c r="BA13" s="130" cm="1">
        <f t="array" ref="BA13">SUMPRODUCT(( $C13=CapexCategory)*(BA$3&gt;=CapexMonth)*(BA$3&lt;=DeprecStop)*DeprecExp)</f>
        <v>0</v>
      </c>
      <c r="BB13" s="130" cm="1">
        <f t="array" ref="BB13">SUMPRODUCT(( $C13=CapexCategory)*(BB$3&gt;=CapexMonth)*(BB$3&lt;=DeprecStop)*DeprecExp)</f>
        <v>0</v>
      </c>
      <c r="BC13" s="130" cm="1">
        <f t="array" ref="BC13">SUMPRODUCT(( $C13=CapexCategory)*(BC$3&gt;=CapexMonth)*(BC$3&lt;=DeprecStop)*DeprecExp)</f>
        <v>0</v>
      </c>
      <c r="BD13" s="130" cm="1">
        <f t="array" ref="BD13">SUMPRODUCT(( $C13=CapexCategory)*(BD$3&gt;=CapexMonth)*(BD$3&lt;=DeprecStop)*DeprecExp)</f>
        <v>0</v>
      </c>
      <c r="BE13" s="130" cm="1">
        <f t="array" ref="BE13">SUMPRODUCT(( $C13=CapexCategory)*(BE$3&gt;=CapexMonth)*(BE$3&lt;=DeprecStop)*DeprecExp)</f>
        <v>0</v>
      </c>
      <c r="BF13" s="128" cm="1">
        <f t="array" ref="BF13">SUMPRODUCT(( $C13=CapexCategory)*(BF$3&gt;=CapexMonth)*(BF$3&lt;=DeprecStop)*DeprecExp)</f>
        <v>0</v>
      </c>
      <c r="BG13" s="130" cm="1">
        <f t="array" ref="BG13">SUMPRODUCT(( $C13=CapexCategory)*(BG$3&gt;=CapexMonth)*(BG$3&lt;=DeprecStop)*DeprecExp)</f>
        <v>0</v>
      </c>
      <c r="BH13" s="130" cm="1">
        <f t="array" ref="BH13">SUMPRODUCT(( $C13=CapexCategory)*(BH$3&gt;=CapexMonth)*(BH$3&lt;=DeprecStop)*DeprecExp)</f>
        <v>0</v>
      </c>
      <c r="BI13" s="130" cm="1">
        <f t="array" ref="BI13">SUMPRODUCT(( $C13=CapexCategory)*(BI$3&gt;=CapexMonth)*(BI$3&lt;=DeprecStop)*DeprecExp)</f>
        <v>0</v>
      </c>
      <c r="BJ13" s="130" cm="1">
        <f t="array" ref="BJ13">SUMPRODUCT(( $C13=CapexCategory)*(BJ$3&gt;=CapexMonth)*(BJ$3&lt;=DeprecStop)*DeprecExp)</f>
        <v>0</v>
      </c>
      <c r="BK13" s="130" cm="1">
        <f t="array" ref="BK13">SUMPRODUCT(( $C13=CapexCategory)*(BK$3&gt;=CapexMonth)*(BK$3&lt;=DeprecStop)*DeprecExp)</f>
        <v>0</v>
      </c>
      <c r="BL13" s="130" cm="1">
        <f t="array" ref="BL13">SUMPRODUCT(( $C13=CapexCategory)*(BL$3&gt;=CapexMonth)*(BL$3&lt;=DeprecStop)*DeprecExp)</f>
        <v>0</v>
      </c>
      <c r="BM13" s="130" cm="1">
        <f t="array" ref="BM13">SUMPRODUCT(( $C13=CapexCategory)*(BM$3&gt;=CapexMonth)*(BM$3&lt;=DeprecStop)*DeprecExp)</f>
        <v>0</v>
      </c>
      <c r="BN13" s="130" cm="1">
        <f t="array" ref="BN13">SUMPRODUCT(( $C13=CapexCategory)*(BN$3&gt;=CapexMonth)*(BN$3&lt;=DeprecStop)*DeprecExp)</f>
        <v>0</v>
      </c>
      <c r="BO13" s="130" cm="1">
        <f t="array" ref="BO13">SUMPRODUCT(( $C13=CapexCategory)*(BO$3&gt;=CapexMonth)*(BO$3&lt;=DeprecStop)*DeprecExp)</f>
        <v>0</v>
      </c>
      <c r="BP13" s="130" cm="1">
        <f t="array" ref="BP13">SUMPRODUCT(( $C13=CapexCategory)*(BP$3&gt;=CapexMonth)*(BP$3&lt;=DeprecStop)*DeprecExp)</f>
        <v>0</v>
      </c>
      <c r="BQ13" s="130" cm="1">
        <f t="array" ref="BQ13">SUMPRODUCT(( $C13=CapexCategory)*(BQ$3&gt;=CapexMonth)*(BQ$3&lt;=DeprecStop)*DeprecExp)</f>
        <v>0</v>
      </c>
      <c r="BR13" s="128" cm="1">
        <f t="array" ref="BR13">SUMPRODUCT(( $C13=CapexCategory)*(BR$3&gt;=CapexMonth)*(BR$3&lt;=DeprecStop)*DeprecExp)</f>
        <v>0</v>
      </c>
    </row>
    <row r="14" spans="1:70" ht="13.2" x14ac:dyDescent="0.3">
      <c r="C14" s="61" t="s">
        <v>94</v>
      </c>
      <c r="D14" s="14"/>
      <c r="E14" s="176">
        <f t="shared" ref="E14:E16" si="10">SUM(K14:V14)</f>
        <v>3.9999999999999996</v>
      </c>
      <c r="F14" s="176">
        <f t="shared" si="6"/>
        <v>0</v>
      </c>
      <c r="G14" s="176">
        <f t="shared" si="7"/>
        <v>0</v>
      </c>
      <c r="H14" s="176">
        <f t="shared" si="8"/>
        <v>0</v>
      </c>
      <c r="I14" s="176">
        <f t="shared" si="9"/>
        <v>0</v>
      </c>
      <c r="J14" s="129"/>
      <c r="K14" s="130" cm="1">
        <f t="array" ref="K14">SUMPRODUCT(( $C14=CapexCategory)*(K$3&gt;=CapexMonth)*(K$3&lt;=DeprecStop)*DeprecExp)</f>
        <v>0.4</v>
      </c>
      <c r="L14" s="130" cm="1">
        <f t="array" ref="L14">SUMPRODUCT(( $C14=CapexCategory)*(L$3&gt;=CapexMonth)*(L$3&lt;=DeprecStop)*DeprecExp)</f>
        <v>0.4</v>
      </c>
      <c r="M14" s="130" cm="1">
        <f t="array" ref="M14">SUMPRODUCT(( $C14=CapexCategory)*(M$3&gt;=CapexMonth)*(M$3&lt;=DeprecStop)*DeprecExp)</f>
        <v>0.4</v>
      </c>
      <c r="N14" s="130" cm="1">
        <f t="array" ref="N14">SUMPRODUCT(( $C14=CapexCategory)*(N$3&gt;=CapexMonth)*(N$3&lt;=DeprecStop)*DeprecExp)</f>
        <v>0.4</v>
      </c>
      <c r="O14" s="130" cm="1">
        <f t="array" ref="O14">SUMPRODUCT(( $C14=CapexCategory)*(O$3&gt;=CapexMonth)*(O$3&lt;=DeprecStop)*DeprecExp)</f>
        <v>0.4</v>
      </c>
      <c r="P14" s="130" cm="1">
        <f t="array" ref="P14">SUMPRODUCT(( $C14=CapexCategory)*(P$3&gt;=CapexMonth)*(P$3&lt;=DeprecStop)*DeprecExp)</f>
        <v>0.4</v>
      </c>
      <c r="Q14" s="130" cm="1">
        <f t="array" ref="Q14">SUMPRODUCT(( $C14=CapexCategory)*(Q$3&gt;=CapexMonth)*(Q$3&lt;=DeprecStop)*DeprecExp)</f>
        <v>0.4</v>
      </c>
      <c r="R14" s="130" cm="1">
        <f t="array" ref="R14">SUMPRODUCT(( $C14=CapexCategory)*(R$3&gt;=CapexMonth)*(R$3&lt;=DeprecStop)*DeprecExp)</f>
        <v>0.4</v>
      </c>
      <c r="S14" s="130" cm="1">
        <f t="array" ref="S14">SUMPRODUCT(( $C14=CapexCategory)*(S$3&gt;=CapexMonth)*(S$3&lt;=DeprecStop)*DeprecExp)</f>
        <v>0.4</v>
      </c>
      <c r="T14" s="130" cm="1">
        <f t="array" ref="T14">SUMPRODUCT(( $C14=CapexCategory)*(T$3&gt;=CapexMonth)*(T$3&lt;=DeprecStop)*DeprecExp)</f>
        <v>0.4</v>
      </c>
      <c r="U14" s="130" cm="1">
        <f t="array" ref="U14">SUMPRODUCT(( $C14=CapexCategory)*(U$3&gt;=CapexMonth)*(U$3&lt;=DeprecStop)*DeprecExp)</f>
        <v>0</v>
      </c>
      <c r="V14" s="128" cm="1">
        <f t="array" ref="V14">SUMPRODUCT(( $C14=CapexCategory)*(V$3&gt;=CapexMonth)*(V$3&lt;=DeprecStop)*DeprecExp)</f>
        <v>0</v>
      </c>
      <c r="W14" s="130" cm="1">
        <f t="array" ref="W14">SUMPRODUCT(( $C14=CapexCategory)*(W$3&gt;=CapexMonth)*(W$3&lt;=DeprecStop)*DeprecExp)</f>
        <v>0</v>
      </c>
      <c r="X14" s="130" cm="1">
        <f t="array" ref="X14">SUMPRODUCT(( $C14=CapexCategory)*(X$3&gt;=CapexMonth)*(X$3&lt;=DeprecStop)*DeprecExp)</f>
        <v>0</v>
      </c>
      <c r="Y14" s="130" cm="1">
        <f t="array" ref="Y14">SUMPRODUCT(( $C14=CapexCategory)*(Y$3&gt;=CapexMonth)*(Y$3&lt;=DeprecStop)*DeprecExp)</f>
        <v>0</v>
      </c>
      <c r="Z14" s="130" cm="1">
        <f t="array" ref="Z14">SUMPRODUCT(( $C14=CapexCategory)*(Z$3&gt;=CapexMonth)*(Z$3&lt;=DeprecStop)*DeprecExp)</f>
        <v>0</v>
      </c>
      <c r="AA14" s="130" cm="1">
        <f t="array" ref="AA14">SUMPRODUCT(( $C14=CapexCategory)*(AA$3&gt;=CapexMonth)*(AA$3&lt;=DeprecStop)*DeprecExp)</f>
        <v>0</v>
      </c>
      <c r="AB14" s="130" cm="1">
        <f t="array" ref="AB14">SUMPRODUCT(( $C14=CapexCategory)*(AB$3&gt;=CapexMonth)*(AB$3&lt;=DeprecStop)*DeprecExp)</f>
        <v>0</v>
      </c>
      <c r="AC14" s="130" cm="1">
        <f t="array" ref="AC14">SUMPRODUCT(( $C14=CapexCategory)*(AC$3&gt;=CapexMonth)*(AC$3&lt;=DeprecStop)*DeprecExp)</f>
        <v>0</v>
      </c>
      <c r="AD14" s="130" cm="1">
        <f t="array" ref="AD14">SUMPRODUCT(( $C14=CapexCategory)*(AD$3&gt;=CapexMonth)*(AD$3&lt;=DeprecStop)*DeprecExp)</f>
        <v>0</v>
      </c>
      <c r="AE14" s="130" cm="1">
        <f t="array" ref="AE14">SUMPRODUCT(( $C14=CapexCategory)*(AE$3&gt;=CapexMonth)*(AE$3&lt;=DeprecStop)*DeprecExp)</f>
        <v>0</v>
      </c>
      <c r="AF14" s="130" cm="1">
        <f t="array" ref="AF14">SUMPRODUCT(( $C14=CapexCategory)*(AF$3&gt;=CapexMonth)*(AF$3&lt;=DeprecStop)*DeprecExp)</f>
        <v>0</v>
      </c>
      <c r="AG14" s="130" cm="1">
        <f t="array" ref="AG14">SUMPRODUCT(( $C14=CapexCategory)*(AG$3&gt;=CapexMonth)*(AG$3&lt;=DeprecStop)*DeprecExp)</f>
        <v>0</v>
      </c>
      <c r="AH14" s="128" cm="1">
        <f t="array" ref="AH14">SUMPRODUCT(( $C14=CapexCategory)*(AH$3&gt;=CapexMonth)*(AH$3&lt;=DeprecStop)*DeprecExp)</f>
        <v>0</v>
      </c>
      <c r="AI14" s="130" cm="1">
        <f t="array" ref="AI14">SUMPRODUCT(( $C14=CapexCategory)*(AI$3&gt;=CapexMonth)*(AI$3&lt;=DeprecStop)*DeprecExp)</f>
        <v>0</v>
      </c>
      <c r="AJ14" s="130" cm="1">
        <f t="array" ref="AJ14">SUMPRODUCT(( $C14=CapexCategory)*(AJ$3&gt;=CapexMonth)*(AJ$3&lt;=DeprecStop)*DeprecExp)</f>
        <v>0</v>
      </c>
      <c r="AK14" s="130" cm="1">
        <f t="array" ref="AK14">SUMPRODUCT(( $C14=CapexCategory)*(AK$3&gt;=CapexMonth)*(AK$3&lt;=DeprecStop)*DeprecExp)</f>
        <v>0</v>
      </c>
      <c r="AL14" s="130" cm="1">
        <f t="array" ref="AL14">SUMPRODUCT(( $C14=CapexCategory)*(AL$3&gt;=CapexMonth)*(AL$3&lt;=DeprecStop)*DeprecExp)</f>
        <v>0</v>
      </c>
      <c r="AM14" s="130" cm="1">
        <f t="array" ref="AM14">SUMPRODUCT(( $C14=CapexCategory)*(AM$3&gt;=CapexMonth)*(AM$3&lt;=DeprecStop)*DeprecExp)</f>
        <v>0</v>
      </c>
      <c r="AN14" s="130" cm="1">
        <f t="array" ref="AN14">SUMPRODUCT(( $C14=CapexCategory)*(AN$3&gt;=CapexMonth)*(AN$3&lt;=DeprecStop)*DeprecExp)</f>
        <v>0</v>
      </c>
      <c r="AO14" s="130" cm="1">
        <f t="array" ref="AO14">SUMPRODUCT(( $C14=CapexCategory)*(AO$3&gt;=CapexMonth)*(AO$3&lt;=DeprecStop)*DeprecExp)</f>
        <v>0</v>
      </c>
      <c r="AP14" s="130" cm="1">
        <f t="array" ref="AP14">SUMPRODUCT(( $C14=CapexCategory)*(AP$3&gt;=CapexMonth)*(AP$3&lt;=DeprecStop)*DeprecExp)</f>
        <v>0</v>
      </c>
      <c r="AQ14" s="130" cm="1">
        <f t="array" ref="AQ14">SUMPRODUCT(( $C14=CapexCategory)*(AQ$3&gt;=CapexMonth)*(AQ$3&lt;=DeprecStop)*DeprecExp)</f>
        <v>0</v>
      </c>
      <c r="AR14" s="130" cm="1">
        <f t="array" ref="AR14">SUMPRODUCT(( $C14=CapexCategory)*(AR$3&gt;=CapexMonth)*(AR$3&lt;=DeprecStop)*DeprecExp)</f>
        <v>0</v>
      </c>
      <c r="AS14" s="130" cm="1">
        <f t="array" ref="AS14">SUMPRODUCT(( $C14=CapexCategory)*(AS$3&gt;=CapexMonth)*(AS$3&lt;=DeprecStop)*DeprecExp)</f>
        <v>0</v>
      </c>
      <c r="AT14" s="128" cm="1">
        <f t="array" ref="AT14">SUMPRODUCT(( $C14=CapexCategory)*(AT$3&gt;=CapexMonth)*(AT$3&lt;=DeprecStop)*DeprecExp)</f>
        <v>0</v>
      </c>
      <c r="AU14" s="130" cm="1">
        <f t="array" ref="AU14">SUMPRODUCT(( $C14=CapexCategory)*(AU$3&gt;=CapexMonth)*(AU$3&lt;=DeprecStop)*DeprecExp)</f>
        <v>0</v>
      </c>
      <c r="AV14" s="130" cm="1">
        <f t="array" ref="AV14">SUMPRODUCT(( $C14=CapexCategory)*(AV$3&gt;=CapexMonth)*(AV$3&lt;=DeprecStop)*DeprecExp)</f>
        <v>0</v>
      </c>
      <c r="AW14" s="130" cm="1">
        <f t="array" ref="AW14">SUMPRODUCT(( $C14=CapexCategory)*(AW$3&gt;=CapexMonth)*(AW$3&lt;=DeprecStop)*DeprecExp)</f>
        <v>0</v>
      </c>
      <c r="AX14" s="130" cm="1">
        <f t="array" ref="AX14">SUMPRODUCT(( $C14=CapexCategory)*(AX$3&gt;=CapexMonth)*(AX$3&lt;=DeprecStop)*DeprecExp)</f>
        <v>0</v>
      </c>
      <c r="AY14" s="130" cm="1">
        <f t="array" ref="AY14">SUMPRODUCT(( $C14=CapexCategory)*(AY$3&gt;=CapexMonth)*(AY$3&lt;=DeprecStop)*DeprecExp)</f>
        <v>0</v>
      </c>
      <c r="AZ14" s="130" cm="1">
        <f t="array" ref="AZ14">SUMPRODUCT(( $C14=CapexCategory)*(AZ$3&gt;=CapexMonth)*(AZ$3&lt;=DeprecStop)*DeprecExp)</f>
        <v>0</v>
      </c>
      <c r="BA14" s="130" cm="1">
        <f t="array" ref="BA14">SUMPRODUCT(( $C14=CapexCategory)*(BA$3&gt;=CapexMonth)*(BA$3&lt;=DeprecStop)*DeprecExp)</f>
        <v>0</v>
      </c>
      <c r="BB14" s="130" cm="1">
        <f t="array" ref="BB14">SUMPRODUCT(( $C14=CapexCategory)*(BB$3&gt;=CapexMonth)*(BB$3&lt;=DeprecStop)*DeprecExp)</f>
        <v>0</v>
      </c>
      <c r="BC14" s="130" cm="1">
        <f t="array" ref="BC14">SUMPRODUCT(( $C14=CapexCategory)*(BC$3&gt;=CapexMonth)*(BC$3&lt;=DeprecStop)*DeprecExp)</f>
        <v>0</v>
      </c>
      <c r="BD14" s="130" cm="1">
        <f t="array" ref="BD14">SUMPRODUCT(( $C14=CapexCategory)*(BD$3&gt;=CapexMonth)*(BD$3&lt;=DeprecStop)*DeprecExp)</f>
        <v>0</v>
      </c>
      <c r="BE14" s="130" cm="1">
        <f t="array" ref="BE14">SUMPRODUCT(( $C14=CapexCategory)*(BE$3&gt;=CapexMonth)*(BE$3&lt;=DeprecStop)*DeprecExp)</f>
        <v>0</v>
      </c>
      <c r="BF14" s="128" cm="1">
        <f t="array" ref="BF14">SUMPRODUCT(( $C14=CapexCategory)*(BF$3&gt;=CapexMonth)*(BF$3&lt;=DeprecStop)*DeprecExp)</f>
        <v>0</v>
      </c>
      <c r="BG14" s="130" cm="1">
        <f t="array" ref="BG14">SUMPRODUCT(( $C14=CapexCategory)*(BG$3&gt;=CapexMonth)*(BG$3&lt;=DeprecStop)*DeprecExp)</f>
        <v>0</v>
      </c>
      <c r="BH14" s="130" cm="1">
        <f t="array" ref="BH14">SUMPRODUCT(( $C14=CapexCategory)*(BH$3&gt;=CapexMonth)*(BH$3&lt;=DeprecStop)*DeprecExp)</f>
        <v>0</v>
      </c>
      <c r="BI14" s="130" cm="1">
        <f t="array" ref="BI14">SUMPRODUCT(( $C14=CapexCategory)*(BI$3&gt;=CapexMonth)*(BI$3&lt;=DeprecStop)*DeprecExp)</f>
        <v>0</v>
      </c>
      <c r="BJ14" s="130" cm="1">
        <f t="array" ref="BJ14">SUMPRODUCT(( $C14=CapexCategory)*(BJ$3&gt;=CapexMonth)*(BJ$3&lt;=DeprecStop)*DeprecExp)</f>
        <v>0</v>
      </c>
      <c r="BK14" s="130" cm="1">
        <f t="array" ref="BK14">SUMPRODUCT(( $C14=CapexCategory)*(BK$3&gt;=CapexMonth)*(BK$3&lt;=DeprecStop)*DeprecExp)</f>
        <v>0</v>
      </c>
      <c r="BL14" s="130" cm="1">
        <f t="array" ref="BL14">SUMPRODUCT(( $C14=CapexCategory)*(BL$3&gt;=CapexMonth)*(BL$3&lt;=DeprecStop)*DeprecExp)</f>
        <v>0</v>
      </c>
      <c r="BM14" s="130" cm="1">
        <f t="array" ref="BM14">SUMPRODUCT(( $C14=CapexCategory)*(BM$3&gt;=CapexMonth)*(BM$3&lt;=DeprecStop)*DeprecExp)</f>
        <v>0</v>
      </c>
      <c r="BN14" s="130" cm="1">
        <f t="array" ref="BN14">SUMPRODUCT(( $C14=CapexCategory)*(BN$3&gt;=CapexMonth)*(BN$3&lt;=DeprecStop)*DeprecExp)</f>
        <v>0</v>
      </c>
      <c r="BO14" s="130" cm="1">
        <f t="array" ref="BO14">SUMPRODUCT(( $C14=CapexCategory)*(BO$3&gt;=CapexMonth)*(BO$3&lt;=DeprecStop)*DeprecExp)</f>
        <v>0</v>
      </c>
      <c r="BP14" s="130" cm="1">
        <f t="array" ref="BP14">SUMPRODUCT(( $C14=CapexCategory)*(BP$3&gt;=CapexMonth)*(BP$3&lt;=DeprecStop)*DeprecExp)</f>
        <v>0</v>
      </c>
      <c r="BQ14" s="130" cm="1">
        <f t="array" ref="BQ14">SUMPRODUCT(( $C14=CapexCategory)*(BQ$3&gt;=CapexMonth)*(BQ$3&lt;=DeprecStop)*DeprecExp)</f>
        <v>0</v>
      </c>
      <c r="BR14" s="128" cm="1">
        <f t="array" ref="BR14">SUMPRODUCT(( $C14=CapexCategory)*(BR$3&gt;=CapexMonth)*(BR$3&lt;=DeprecStop)*DeprecExp)</f>
        <v>0</v>
      </c>
    </row>
    <row r="15" spans="1:70" ht="13.2" x14ac:dyDescent="0.3">
      <c r="C15" s="61" t="s">
        <v>95</v>
      </c>
      <c r="D15" s="14"/>
      <c r="E15" s="176">
        <f t="shared" si="10"/>
        <v>0</v>
      </c>
      <c r="F15" s="176">
        <f t="shared" si="6"/>
        <v>0</v>
      </c>
      <c r="G15" s="176">
        <f t="shared" si="7"/>
        <v>0</v>
      </c>
      <c r="H15" s="176">
        <f t="shared" si="8"/>
        <v>0</v>
      </c>
      <c r="I15" s="176">
        <f t="shared" si="9"/>
        <v>0</v>
      </c>
      <c r="J15" s="129"/>
      <c r="K15" s="130" cm="1">
        <f t="array" ref="K15">SUMPRODUCT(( $C15=CapexCategory)*(K$3&gt;=CapexMonth)*(K$3&lt;=DeprecStop)*DeprecExp)</f>
        <v>0</v>
      </c>
      <c r="L15" s="130" cm="1">
        <f t="array" ref="L15">SUMPRODUCT(( $C15=CapexCategory)*(L$3&gt;=CapexMonth)*(L$3&lt;=DeprecStop)*DeprecExp)</f>
        <v>0</v>
      </c>
      <c r="M15" s="130" cm="1">
        <f t="array" ref="M15">SUMPRODUCT(( $C15=CapexCategory)*(M$3&gt;=CapexMonth)*(M$3&lt;=DeprecStop)*DeprecExp)</f>
        <v>0</v>
      </c>
      <c r="N15" s="130" cm="1">
        <f t="array" ref="N15">SUMPRODUCT(( $C15=CapexCategory)*(N$3&gt;=CapexMonth)*(N$3&lt;=DeprecStop)*DeprecExp)</f>
        <v>0</v>
      </c>
      <c r="O15" s="130" cm="1">
        <f t="array" ref="O15">SUMPRODUCT(( $C15=CapexCategory)*(O$3&gt;=CapexMonth)*(O$3&lt;=DeprecStop)*DeprecExp)</f>
        <v>0</v>
      </c>
      <c r="P15" s="130" cm="1">
        <f t="array" ref="P15">SUMPRODUCT(( $C15=CapexCategory)*(P$3&gt;=CapexMonth)*(P$3&lt;=DeprecStop)*DeprecExp)</f>
        <v>0</v>
      </c>
      <c r="Q15" s="130" cm="1">
        <f t="array" ref="Q15">SUMPRODUCT(( $C15=CapexCategory)*(Q$3&gt;=CapexMonth)*(Q$3&lt;=DeprecStop)*DeprecExp)</f>
        <v>0</v>
      </c>
      <c r="R15" s="130" cm="1">
        <f t="array" ref="R15">SUMPRODUCT(( $C15=CapexCategory)*(R$3&gt;=CapexMonth)*(R$3&lt;=DeprecStop)*DeprecExp)</f>
        <v>0</v>
      </c>
      <c r="S15" s="130" cm="1">
        <f t="array" ref="S15">SUMPRODUCT(( $C15=CapexCategory)*(S$3&gt;=CapexMonth)*(S$3&lt;=DeprecStop)*DeprecExp)</f>
        <v>0</v>
      </c>
      <c r="T15" s="130" cm="1">
        <f t="array" ref="T15">SUMPRODUCT(( $C15=CapexCategory)*(T$3&gt;=CapexMonth)*(T$3&lt;=DeprecStop)*DeprecExp)</f>
        <v>0</v>
      </c>
      <c r="U15" s="130" cm="1">
        <f t="array" ref="U15">SUMPRODUCT(( $C15=CapexCategory)*(U$3&gt;=CapexMonth)*(U$3&lt;=DeprecStop)*DeprecExp)</f>
        <v>0</v>
      </c>
      <c r="V15" s="128" cm="1">
        <f t="array" ref="V15">SUMPRODUCT(( $C15=CapexCategory)*(V$3&gt;=CapexMonth)*(V$3&lt;=DeprecStop)*DeprecExp)</f>
        <v>0</v>
      </c>
      <c r="W15" s="130" cm="1">
        <f t="array" ref="W15">SUMPRODUCT(( $C15=CapexCategory)*(W$3&gt;=CapexMonth)*(W$3&lt;=DeprecStop)*DeprecExp)</f>
        <v>0</v>
      </c>
      <c r="X15" s="130" cm="1">
        <f t="array" ref="X15">SUMPRODUCT(( $C15=CapexCategory)*(X$3&gt;=CapexMonth)*(X$3&lt;=DeprecStop)*DeprecExp)</f>
        <v>0</v>
      </c>
      <c r="Y15" s="130" cm="1">
        <f t="array" ref="Y15">SUMPRODUCT(( $C15=CapexCategory)*(Y$3&gt;=CapexMonth)*(Y$3&lt;=DeprecStop)*DeprecExp)</f>
        <v>0</v>
      </c>
      <c r="Z15" s="130" cm="1">
        <f t="array" ref="Z15">SUMPRODUCT(( $C15=CapexCategory)*(Z$3&gt;=CapexMonth)*(Z$3&lt;=DeprecStop)*DeprecExp)</f>
        <v>0</v>
      </c>
      <c r="AA15" s="130" cm="1">
        <f t="array" ref="AA15">SUMPRODUCT(( $C15=CapexCategory)*(AA$3&gt;=CapexMonth)*(AA$3&lt;=DeprecStop)*DeprecExp)</f>
        <v>0</v>
      </c>
      <c r="AB15" s="130" cm="1">
        <f t="array" ref="AB15">SUMPRODUCT(( $C15=CapexCategory)*(AB$3&gt;=CapexMonth)*(AB$3&lt;=DeprecStop)*DeprecExp)</f>
        <v>0</v>
      </c>
      <c r="AC15" s="130" cm="1">
        <f t="array" ref="AC15">SUMPRODUCT(( $C15=CapexCategory)*(AC$3&gt;=CapexMonth)*(AC$3&lt;=DeprecStop)*DeprecExp)</f>
        <v>0</v>
      </c>
      <c r="AD15" s="130" cm="1">
        <f t="array" ref="AD15">SUMPRODUCT(( $C15=CapexCategory)*(AD$3&gt;=CapexMonth)*(AD$3&lt;=DeprecStop)*DeprecExp)</f>
        <v>0</v>
      </c>
      <c r="AE15" s="130" cm="1">
        <f t="array" ref="AE15">SUMPRODUCT(( $C15=CapexCategory)*(AE$3&gt;=CapexMonth)*(AE$3&lt;=DeprecStop)*DeprecExp)</f>
        <v>0</v>
      </c>
      <c r="AF15" s="130" cm="1">
        <f t="array" ref="AF15">SUMPRODUCT(( $C15=CapexCategory)*(AF$3&gt;=CapexMonth)*(AF$3&lt;=DeprecStop)*DeprecExp)</f>
        <v>0</v>
      </c>
      <c r="AG15" s="130" cm="1">
        <f t="array" ref="AG15">SUMPRODUCT(( $C15=CapexCategory)*(AG$3&gt;=CapexMonth)*(AG$3&lt;=DeprecStop)*DeprecExp)</f>
        <v>0</v>
      </c>
      <c r="AH15" s="128" cm="1">
        <f t="array" ref="AH15">SUMPRODUCT(( $C15=CapexCategory)*(AH$3&gt;=CapexMonth)*(AH$3&lt;=DeprecStop)*DeprecExp)</f>
        <v>0</v>
      </c>
      <c r="AI15" s="130" cm="1">
        <f t="array" ref="AI15">SUMPRODUCT(( $C15=CapexCategory)*(AI$3&gt;=CapexMonth)*(AI$3&lt;=DeprecStop)*DeprecExp)</f>
        <v>0</v>
      </c>
      <c r="AJ15" s="130" cm="1">
        <f t="array" ref="AJ15">SUMPRODUCT(( $C15=CapexCategory)*(AJ$3&gt;=CapexMonth)*(AJ$3&lt;=DeprecStop)*DeprecExp)</f>
        <v>0</v>
      </c>
      <c r="AK15" s="130" cm="1">
        <f t="array" ref="AK15">SUMPRODUCT(( $C15=CapexCategory)*(AK$3&gt;=CapexMonth)*(AK$3&lt;=DeprecStop)*DeprecExp)</f>
        <v>0</v>
      </c>
      <c r="AL15" s="130" cm="1">
        <f t="array" ref="AL15">SUMPRODUCT(( $C15=CapexCategory)*(AL$3&gt;=CapexMonth)*(AL$3&lt;=DeprecStop)*DeprecExp)</f>
        <v>0</v>
      </c>
      <c r="AM15" s="130" cm="1">
        <f t="array" ref="AM15">SUMPRODUCT(( $C15=CapexCategory)*(AM$3&gt;=CapexMonth)*(AM$3&lt;=DeprecStop)*DeprecExp)</f>
        <v>0</v>
      </c>
      <c r="AN15" s="130" cm="1">
        <f t="array" ref="AN15">SUMPRODUCT(( $C15=CapexCategory)*(AN$3&gt;=CapexMonth)*(AN$3&lt;=DeprecStop)*DeprecExp)</f>
        <v>0</v>
      </c>
      <c r="AO15" s="130" cm="1">
        <f t="array" ref="AO15">SUMPRODUCT(( $C15=CapexCategory)*(AO$3&gt;=CapexMonth)*(AO$3&lt;=DeprecStop)*DeprecExp)</f>
        <v>0</v>
      </c>
      <c r="AP15" s="130" cm="1">
        <f t="array" ref="AP15">SUMPRODUCT(( $C15=CapexCategory)*(AP$3&gt;=CapexMonth)*(AP$3&lt;=DeprecStop)*DeprecExp)</f>
        <v>0</v>
      </c>
      <c r="AQ15" s="130" cm="1">
        <f t="array" ref="AQ15">SUMPRODUCT(( $C15=CapexCategory)*(AQ$3&gt;=CapexMonth)*(AQ$3&lt;=DeprecStop)*DeprecExp)</f>
        <v>0</v>
      </c>
      <c r="AR15" s="130" cm="1">
        <f t="array" ref="AR15">SUMPRODUCT(( $C15=CapexCategory)*(AR$3&gt;=CapexMonth)*(AR$3&lt;=DeprecStop)*DeprecExp)</f>
        <v>0</v>
      </c>
      <c r="AS15" s="130" cm="1">
        <f t="array" ref="AS15">SUMPRODUCT(( $C15=CapexCategory)*(AS$3&gt;=CapexMonth)*(AS$3&lt;=DeprecStop)*DeprecExp)</f>
        <v>0</v>
      </c>
      <c r="AT15" s="128" cm="1">
        <f t="array" ref="AT15">SUMPRODUCT(( $C15=CapexCategory)*(AT$3&gt;=CapexMonth)*(AT$3&lt;=DeprecStop)*DeprecExp)</f>
        <v>0</v>
      </c>
      <c r="AU15" s="130" cm="1">
        <f t="array" ref="AU15">SUMPRODUCT(( $C15=CapexCategory)*(AU$3&gt;=CapexMonth)*(AU$3&lt;=DeprecStop)*DeprecExp)</f>
        <v>0</v>
      </c>
      <c r="AV15" s="130" cm="1">
        <f t="array" ref="AV15">SUMPRODUCT(( $C15=CapexCategory)*(AV$3&gt;=CapexMonth)*(AV$3&lt;=DeprecStop)*DeprecExp)</f>
        <v>0</v>
      </c>
      <c r="AW15" s="130" cm="1">
        <f t="array" ref="AW15">SUMPRODUCT(( $C15=CapexCategory)*(AW$3&gt;=CapexMonth)*(AW$3&lt;=DeprecStop)*DeprecExp)</f>
        <v>0</v>
      </c>
      <c r="AX15" s="130" cm="1">
        <f t="array" ref="AX15">SUMPRODUCT(( $C15=CapexCategory)*(AX$3&gt;=CapexMonth)*(AX$3&lt;=DeprecStop)*DeprecExp)</f>
        <v>0</v>
      </c>
      <c r="AY15" s="130" cm="1">
        <f t="array" ref="AY15">SUMPRODUCT(( $C15=CapexCategory)*(AY$3&gt;=CapexMonth)*(AY$3&lt;=DeprecStop)*DeprecExp)</f>
        <v>0</v>
      </c>
      <c r="AZ15" s="130" cm="1">
        <f t="array" ref="AZ15">SUMPRODUCT(( $C15=CapexCategory)*(AZ$3&gt;=CapexMonth)*(AZ$3&lt;=DeprecStop)*DeprecExp)</f>
        <v>0</v>
      </c>
      <c r="BA15" s="130" cm="1">
        <f t="array" ref="BA15">SUMPRODUCT(( $C15=CapexCategory)*(BA$3&gt;=CapexMonth)*(BA$3&lt;=DeprecStop)*DeprecExp)</f>
        <v>0</v>
      </c>
      <c r="BB15" s="130" cm="1">
        <f t="array" ref="BB15">SUMPRODUCT(( $C15=CapexCategory)*(BB$3&gt;=CapexMonth)*(BB$3&lt;=DeprecStop)*DeprecExp)</f>
        <v>0</v>
      </c>
      <c r="BC15" s="130" cm="1">
        <f t="array" ref="BC15">SUMPRODUCT(( $C15=CapexCategory)*(BC$3&gt;=CapexMonth)*(BC$3&lt;=DeprecStop)*DeprecExp)</f>
        <v>0</v>
      </c>
      <c r="BD15" s="130" cm="1">
        <f t="array" ref="BD15">SUMPRODUCT(( $C15=CapexCategory)*(BD$3&gt;=CapexMonth)*(BD$3&lt;=DeprecStop)*DeprecExp)</f>
        <v>0</v>
      </c>
      <c r="BE15" s="130" cm="1">
        <f t="array" ref="BE15">SUMPRODUCT(( $C15=CapexCategory)*(BE$3&gt;=CapexMonth)*(BE$3&lt;=DeprecStop)*DeprecExp)</f>
        <v>0</v>
      </c>
      <c r="BF15" s="128" cm="1">
        <f t="array" ref="BF15">SUMPRODUCT(( $C15=CapexCategory)*(BF$3&gt;=CapexMonth)*(BF$3&lt;=DeprecStop)*DeprecExp)</f>
        <v>0</v>
      </c>
      <c r="BG15" s="130" cm="1">
        <f t="array" ref="BG15">SUMPRODUCT(( $C15=CapexCategory)*(BG$3&gt;=CapexMonth)*(BG$3&lt;=DeprecStop)*DeprecExp)</f>
        <v>0</v>
      </c>
      <c r="BH15" s="130" cm="1">
        <f t="array" ref="BH15">SUMPRODUCT(( $C15=CapexCategory)*(BH$3&gt;=CapexMonth)*(BH$3&lt;=DeprecStop)*DeprecExp)</f>
        <v>0</v>
      </c>
      <c r="BI15" s="130" cm="1">
        <f t="array" ref="BI15">SUMPRODUCT(( $C15=CapexCategory)*(BI$3&gt;=CapexMonth)*(BI$3&lt;=DeprecStop)*DeprecExp)</f>
        <v>0</v>
      </c>
      <c r="BJ15" s="130" cm="1">
        <f t="array" ref="BJ15">SUMPRODUCT(( $C15=CapexCategory)*(BJ$3&gt;=CapexMonth)*(BJ$3&lt;=DeprecStop)*DeprecExp)</f>
        <v>0</v>
      </c>
      <c r="BK15" s="130" cm="1">
        <f t="array" ref="BK15">SUMPRODUCT(( $C15=CapexCategory)*(BK$3&gt;=CapexMonth)*(BK$3&lt;=DeprecStop)*DeprecExp)</f>
        <v>0</v>
      </c>
      <c r="BL15" s="130" cm="1">
        <f t="array" ref="BL15">SUMPRODUCT(( $C15=CapexCategory)*(BL$3&gt;=CapexMonth)*(BL$3&lt;=DeprecStop)*DeprecExp)</f>
        <v>0</v>
      </c>
      <c r="BM15" s="130" cm="1">
        <f t="array" ref="BM15">SUMPRODUCT(( $C15=CapexCategory)*(BM$3&gt;=CapexMonth)*(BM$3&lt;=DeprecStop)*DeprecExp)</f>
        <v>0</v>
      </c>
      <c r="BN15" s="130" cm="1">
        <f t="array" ref="BN15">SUMPRODUCT(( $C15=CapexCategory)*(BN$3&gt;=CapexMonth)*(BN$3&lt;=DeprecStop)*DeprecExp)</f>
        <v>0</v>
      </c>
      <c r="BO15" s="130" cm="1">
        <f t="array" ref="BO15">SUMPRODUCT(( $C15=CapexCategory)*(BO$3&gt;=CapexMonth)*(BO$3&lt;=DeprecStop)*DeprecExp)</f>
        <v>0</v>
      </c>
      <c r="BP15" s="130" cm="1">
        <f t="array" ref="BP15">SUMPRODUCT(( $C15=CapexCategory)*(BP$3&gt;=CapexMonth)*(BP$3&lt;=DeprecStop)*DeprecExp)</f>
        <v>0</v>
      </c>
      <c r="BQ15" s="130" cm="1">
        <f t="array" ref="BQ15">SUMPRODUCT(( $C15=CapexCategory)*(BQ$3&gt;=CapexMonth)*(BQ$3&lt;=DeprecStop)*DeprecExp)</f>
        <v>0</v>
      </c>
      <c r="BR15" s="128" cm="1">
        <f t="array" ref="BR15">SUMPRODUCT(( $C15=CapexCategory)*(BR$3&gt;=CapexMonth)*(BR$3&lt;=DeprecStop)*DeprecExp)</f>
        <v>0</v>
      </c>
    </row>
    <row r="16" spans="1:70" ht="13.2" x14ac:dyDescent="0.3">
      <c r="C16" s="61" t="s">
        <v>96</v>
      </c>
      <c r="D16" s="14"/>
      <c r="E16" s="176">
        <f t="shared" si="10"/>
        <v>50.000000000000007</v>
      </c>
      <c r="F16" s="176">
        <f t="shared" si="6"/>
        <v>50.000000000000007</v>
      </c>
      <c r="G16" s="176">
        <f t="shared" si="7"/>
        <v>0</v>
      </c>
      <c r="H16" s="176">
        <f t="shared" si="8"/>
        <v>0</v>
      </c>
      <c r="I16" s="176">
        <f t="shared" si="9"/>
        <v>0</v>
      </c>
      <c r="J16" s="129"/>
      <c r="K16" s="130" cm="1">
        <f t="array" ref="K16">SUMPRODUCT(( $C16=CapexCategory)*(K$3&gt;=CapexMonth)*(K$3&lt;=DeprecStop)*DeprecExp)</f>
        <v>0</v>
      </c>
      <c r="L16" s="130" cm="1">
        <f t="array" ref="L16">SUMPRODUCT(( $C16=CapexCategory)*(L$3&gt;=CapexMonth)*(L$3&lt;=DeprecStop)*DeprecExp)</f>
        <v>0</v>
      </c>
      <c r="M16" s="130" cm="1">
        <f t="array" ref="M16">SUMPRODUCT(( $C16=CapexCategory)*(M$3&gt;=CapexMonth)*(M$3&lt;=DeprecStop)*DeprecExp)</f>
        <v>0</v>
      </c>
      <c r="N16" s="130" cm="1">
        <f t="array" ref="N16">SUMPRODUCT(( $C16=CapexCategory)*(N$3&gt;=CapexMonth)*(N$3&lt;=DeprecStop)*DeprecExp)</f>
        <v>0</v>
      </c>
      <c r="O16" s="130" cm="1">
        <f t="array" ref="O16">SUMPRODUCT(( $C16=CapexCategory)*(O$3&gt;=CapexMonth)*(O$3&lt;=DeprecStop)*DeprecExp)</f>
        <v>0</v>
      </c>
      <c r="P16" s="130" cm="1">
        <f t="array" ref="P16">SUMPRODUCT(( $C16=CapexCategory)*(P$3&gt;=CapexMonth)*(P$3&lt;=DeprecStop)*DeprecExp)</f>
        <v>7.1428571428571432</v>
      </c>
      <c r="Q16" s="130" cm="1">
        <f t="array" ref="Q16">SUMPRODUCT(( $C16=CapexCategory)*(Q$3&gt;=CapexMonth)*(Q$3&lt;=DeprecStop)*DeprecExp)</f>
        <v>7.1428571428571432</v>
      </c>
      <c r="R16" s="130" cm="1">
        <f t="array" ref="R16">SUMPRODUCT(( $C16=CapexCategory)*(R$3&gt;=CapexMonth)*(R$3&lt;=DeprecStop)*DeprecExp)</f>
        <v>7.1428571428571432</v>
      </c>
      <c r="S16" s="130" cm="1">
        <f t="array" ref="S16">SUMPRODUCT(( $C16=CapexCategory)*(S$3&gt;=CapexMonth)*(S$3&lt;=DeprecStop)*DeprecExp)</f>
        <v>7.1428571428571432</v>
      </c>
      <c r="T16" s="130" cm="1">
        <f t="array" ref="T16">SUMPRODUCT(( $C16=CapexCategory)*(T$3&gt;=CapexMonth)*(T$3&lt;=DeprecStop)*DeprecExp)</f>
        <v>7.1428571428571432</v>
      </c>
      <c r="U16" s="130" cm="1">
        <f t="array" ref="U16">SUMPRODUCT(( $C16=CapexCategory)*(U$3&gt;=CapexMonth)*(U$3&lt;=DeprecStop)*DeprecExp)</f>
        <v>7.1428571428571432</v>
      </c>
      <c r="V16" s="128" cm="1">
        <f t="array" ref="V16">SUMPRODUCT(( $C16=CapexCategory)*(V$3&gt;=CapexMonth)*(V$3&lt;=DeprecStop)*DeprecExp)</f>
        <v>7.1428571428571432</v>
      </c>
      <c r="W16" s="130" cm="1">
        <f t="array" ref="W16">SUMPRODUCT(( $C16=CapexCategory)*(W$3&gt;=CapexMonth)*(W$3&lt;=DeprecStop)*DeprecExp)</f>
        <v>7.1428571428571432</v>
      </c>
      <c r="X16" s="130" cm="1">
        <f t="array" ref="X16">SUMPRODUCT(( $C16=CapexCategory)*(X$3&gt;=CapexMonth)*(X$3&lt;=DeprecStop)*DeprecExp)</f>
        <v>7.1428571428571432</v>
      </c>
      <c r="Y16" s="130" cm="1">
        <f t="array" ref="Y16">SUMPRODUCT(( $C16=CapexCategory)*(Y$3&gt;=CapexMonth)*(Y$3&lt;=DeprecStop)*DeprecExp)</f>
        <v>7.1428571428571432</v>
      </c>
      <c r="Z16" s="130" cm="1">
        <f t="array" ref="Z16">SUMPRODUCT(( $C16=CapexCategory)*(Z$3&gt;=CapexMonth)*(Z$3&lt;=DeprecStop)*DeprecExp)</f>
        <v>7.1428571428571432</v>
      </c>
      <c r="AA16" s="130" cm="1">
        <f t="array" ref="AA16">SUMPRODUCT(( $C16=CapexCategory)*(AA$3&gt;=CapexMonth)*(AA$3&lt;=DeprecStop)*DeprecExp)</f>
        <v>7.1428571428571432</v>
      </c>
      <c r="AB16" s="130" cm="1">
        <f t="array" ref="AB16">SUMPRODUCT(( $C16=CapexCategory)*(AB$3&gt;=CapexMonth)*(AB$3&lt;=DeprecStop)*DeprecExp)</f>
        <v>7.1428571428571432</v>
      </c>
      <c r="AC16" s="130" cm="1">
        <f t="array" ref="AC16">SUMPRODUCT(( $C16=CapexCategory)*(AC$3&gt;=CapexMonth)*(AC$3&lt;=DeprecStop)*DeprecExp)</f>
        <v>7.1428571428571432</v>
      </c>
      <c r="AD16" s="130" cm="1">
        <f t="array" ref="AD16">SUMPRODUCT(( $C16=CapexCategory)*(AD$3&gt;=CapexMonth)*(AD$3&lt;=DeprecStop)*DeprecExp)</f>
        <v>0</v>
      </c>
      <c r="AE16" s="130" cm="1">
        <f t="array" ref="AE16">SUMPRODUCT(( $C16=CapexCategory)*(AE$3&gt;=CapexMonth)*(AE$3&lt;=DeprecStop)*DeprecExp)</f>
        <v>0</v>
      </c>
      <c r="AF16" s="130" cm="1">
        <f t="array" ref="AF16">SUMPRODUCT(( $C16=CapexCategory)*(AF$3&gt;=CapexMonth)*(AF$3&lt;=DeprecStop)*DeprecExp)</f>
        <v>0</v>
      </c>
      <c r="AG16" s="130" cm="1">
        <f t="array" ref="AG16">SUMPRODUCT(( $C16=CapexCategory)*(AG$3&gt;=CapexMonth)*(AG$3&lt;=DeprecStop)*DeprecExp)</f>
        <v>0</v>
      </c>
      <c r="AH16" s="128" cm="1">
        <f t="array" ref="AH16">SUMPRODUCT(( $C16=CapexCategory)*(AH$3&gt;=CapexMonth)*(AH$3&lt;=DeprecStop)*DeprecExp)</f>
        <v>0</v>
      </c>
      <c r="AI16" s="130" cm="1">
        <f t="array" ref="AI16">SUMPRODUCT(( $C16=CapexCategory)*(AI$3&gt;=CapexMonth)*(AI$3&lt;=DeprecStop)*DeprecExp)</f>
        <v>0</v>
      </c>
      <c r="AJ16" s="130" cm="1">
        <f t="array" ref="AJ16">SUMPRODUCT(( $C16=CapexCategory)*(AJ$3&gt;=CapexMonth)*(AJ$3&lt;=DeprecStop)*DeprecExp)</f>
        <v>0</v>
      </c>
      <c r="AK16" s="130" cm="1">
        <f t="array" ref="AK16">SUMPRODUCT(( $C16=CapexCategory)*(AK$3&gt;=CapexMonth)*(AK$3&lt;=DeprecStop)*DeprecExp)</f>
        <v>0</v>
      </c>
      <c r="AL16" s="130" cm="1">
        <f t="array" ref="AL16">SUMPRODUCT(( $C16=CapexCategory)*(AL$3&gt;=CapexMonth)*(AL$3&lt;=DeprecStop)*DeprecExp)</f>
        <v>0</v>
      </c>
      <c r="AM16" s="130" cm="1">
        <f t="array" ref="AM16">SUMPRODUCT(( $C16=CapexCategory)*(AM$3&gt;=CapexMonth)*(AM$3&lt;=DeprecStop)*DeprecExp)</f>
        <v>0</v>
      </c>
      <c r="AN16" s="130" cm="1">
        <f t="array" ref="AN16">SUMPRODUCT(( $C16=CapexCategory)*(AN$3&gt;=CapexMonth)*(AN$3&lt;=DeprecStop)*DeprecExp)</f>
        <v>0</v>
      </c>
      <c r="AO16" s="130" cm="1">
        <f t="array" ref="AO16">SUMPRODUCT(( $C16=CapexCategory)*(AO$3&gt;=CapexMonth)*(AO$3&lt;=DeprecStop)*DeprecExp)</f>
        <v>0</v>
      </c>
      <c r="AP16" s="130" cm="1">
        <f t="array" ref="AP16">SUMPRODUCT(( $C16=CapexCategory)*(AP$3&gt;=CapexMonth)*(AP$3&lt;=DeprecStop)*DeprecExp)</f>
        <v>0</v>
      </c>
      <c r="AQ16" s="130" cm="1">
        <f t="array" ref="AQ16">SUMPRODUCT(( $C16=CapexCategory)*(AQ$3&gt;=CapexMonth)*(AQ$3&lt;=DeprecStop)*DeprecExp)</f>
        <v>0</v>
      </c>
      <c r="AR16" s="130" cm="1">
        <f t="array" ref="AR16">SUMPRODUCT(( $C16=CapexCategory)*(AR$3&gt;=CapexMonth)*(AR$3&lt;=DeprecStop)*DeprecExp)</f>
        <v>0</v>
      </c>
      <c r="AS16" s="130" cm="1">
        <f t="array" ref="AS16">SUMPRODUCT(( $C16=CapexCategory)*(AS$3&gt;=CapexMonth)*(AS$3&lt;=DeprecStop)*DeprecExp)</f>
        <v>0</v>
      </c>
      <c r="AT16" s="128" cm="1">
        <f t="array" ref="AT16">SUMPRODUCT(( $C16=CapexCategory)*(AT$3&gt;=CapexMonth)*(AT$3&lt;=DeprecStop)*DeprecExp)</f>
        <v>0</v>
      </c>
      <c r="AU16" s="130" cm="1">
        <f t="array" ref="AU16">SUMPRODUCT(( $C16=CapexCategory)*(AU$3&gt;=CapexMonth)*(AU$3&lt;=DeprecStop)*DeprecExp)</f>
        <v>0</v>
      </c>
      <c r="AV16" s="130" cm="1">
        <f t="array" ref="AV16">SUMPRODUCT(( $C16=CapexCategory)*(AV$3&gt;=CapexMonth)*(AV$3&lt;=DeprecStop)*DeprecExp)</f>
        <v>0</v>
      </c>
      <c r="AW16" s="130" cm="1">
        <f t="array" ref="AW16">SUMPRODUCT(( $C16=CapexCategory)*(AW$3&gt;=CapexMonth)*(AW$3&lt;=DeprecStop)*DeprecExp)</f>
        <v>0</v>
      </c>
      <c r="AX16" s="130" cm="1">
        <f t="array" ref="AX16">SUMPRODUCT(( $C16=CapexCategory)*(AX$3&gt;=CapexMonth)*(AX$3&lt;=DeprecStop)*DeprecExp)</f>
        <v>0</v>
      </c>
      <c r="AY16" s="130" cm="1">
        <f t="array" ref="AY16">SUMPRODUCT(( $C16=CapexCategory)*(AY$3&gt;=CapexMonth)*(AY$3&lt;=DeprecStop)*DeprecExp)</f>
        <v>0</v>
      </c>
      <c r="AZ16" s="130" cm="1">
        <f t="array" ref="AZ16">SUMPRODUCT(( $C16=CapexCategory)*(AZ$3&gt;=CapexMonth)*(AZ$3&lt;=DeprecStop)*DeprecExp)</f>
        <v>0</v>
      </c>
      <c r="BA16" s="130" cm="1">
        <f t="array" ref="BA16">SUMPRODUCT(( $C16=CapexCategory)*(BA$3&gt;=CapexMonth)*(BA$3&lt;=DeprecStop)*DeprecExp)</f>
        <v>0</v>
      </c>
      <c r="BB16" s="130" cm="1">
        <f t="array" ref="BB16">SUMPRODUCT(( $C16=CapexCategory)*(BB$3&gt;=CapexMonth)*(BB$3&lt;=DeprecStop)*DeprecExp)</f>
        <v>0</v>
      </c>
      <c r="BC16" s="130" cm="1">
        <f t="array" ref="BC16">SUMPRODUCT(( $C16=CapexCategory)*(BC$3&gt;=CapexMonth)*(BC$3&lt;=DeprecStop)*DeprecExp)</f>
        <v>0</v>
      </c>
      <c r="BD16" s="130" cm="1">
        <f t="array" ref="BD16">SUMPRODUCT(( $C16=CapexCategory)*(BD$3&gt;=CapexMonth)*(BD$3&lt;=DeprecStop)*DeprecExp)</f>
        <v>0</v>
      </c>
      <c r="BE16" s="130" cm="1">
        <f t="array" ref="BE16">SUMPRODUCT(( $C16=CapexCategory)*(BE$3&gt;=CapexMonth)*(BE$3&lt;=DeprecStop)*DeprecExp)</f>
        <v>0</v>
      </c>
      <c r="BF16" s="128" cm="1">
        <f t="array" ref="BF16">SUMPRODUCT(( $C16=CapexCategory)*(BF$3&gt;=CapexMonth)*(BF$3&lt;=DeprecStop)*DeprecExp)</f>
        <v>0</v>
      </c>
      <c r="BG16" s="130" cm="1">
        <f t="array" ref="BG16">SUMPRODUCT(( $C16=CapexCategory)*(BG$3&gt;=CapexMonth)*(BG$3&lt;=DeprecStop)*DeprecExp)</f>
        <v>0</v>
      </c>
      <c r="BH16" s="130" cm="1">
        <f t="array" ref="BH16">SUMPRODUCT(( $C16=CapexCategory)*(BH$3&gt;=CapexMonth)*(BH$3&lt;=DeprecStop)*DeprecExp)</f>
        <v>0</v>
      </c>
      <c r="BI16" s="130" cm="1">
        <f t="array" ref="BI16">SUMPRODUCT(( $C16=CapexCategory)*(BI$3&gt;=CapexMonth)*(BI$3&lt;=DeprecStop)*DeprecExp)</f>
        <v>0</v>
      </c>
      <c r="BJ16" s="130" cm="1">
        <f t="array" ref="BJ16">SUMPRODUCT(( $C16=CapexCategory)*(BJ$3&gt;=CapexMonth)*(BJ$3&lt;=DeprecStop)*DeprecExp)</f>
        <v>0</v>
      </c>
      <c r="BK16" s="130" cm="1">
        <f t="array" ref="BK16">SUMPRODUCT(( $C16=CapexCategory)*(BK$3&gt;=CapexMonth)*(BK$3&lt;=DeprecStop)*DeprecExp)</f>
        <v>0</v>
      </c>
      <c r="BL16" s="130" cm="1">
        <f t="array" ref="BL16">SUMPRODUCT(( $C16=CapexCategory)*(BL$3&gt;=CapexMonth)*(BL$3&lt;=DeprecStop)*DeprecExp)</f>
        <v>0</v>
      </c>
      <c r="BM16" s="130" cm="1">
        <f t="array" ref="BM16">SUMPRODUCT(( $C16=CapexCategory)*(BM$3&gt;=CapexMonth)*(BM$3&lt;=DeprecStop)*DeprecExp)</f>
        <v>0</v>
      </c>
      <c r="BN16" s="130" cm="1">
        <f t="array" ref="BN16">SUMPRODUCT(( $C16=CapexCategory)*(BN$3&gt;=CapexMonth)*(BN$3&lt;=DeprecStop)*DeprecExp)</f>
        <v>0</v>
      </c>
      <c r="BO16" s="130" cm="1">
        <f t="array" ref="BO16">SUMPRODUCT(( $C16=CapexCategory)*(BO$3&gt;=CapexMonth)*(BO$3&lt;=DeprecStop)*DeprecExp)</f>
        <v>0</v>
      </c>
      <c r="BP16" s="130" cm="1">
        <f t="array" ref="BP16">SUMPRODUCT(( $C16=CapexCategory)*(BP$3&gt;=CapexMonth)*(BP$3&lt;=DeprecStop)*DeprecExp)</f>
        <v>0</v>
      </c>
      <c r="BQ16" s="130" cm="1">
        <f t="array" ref="BQ16">SUMPRODUCT(( $C16=CapexCategory)*(BQ$3&gt;=CapexMonth)*(BQ$3&lt;=DeprecStop)*DeprecExp)</f>
        <v>0</v>
      </c>
      <c r="BR16" s="128" cm="1">
        <f t="array" ref="BR16">SUMPRODUCT(( $C16=CapexCategory)*(BR$3&gt;=CapexMonth)*(BR$3&lt;=DeprecStop)*DeprecExp)</f>
        <v>0</v>
      </c>
    </row>
    <row r="17" spans="1:70" ht="13.2" x14ac:dyDescent="0.3">
      <c r="C17" s="61" t="s">
        <v>97</v>
      </c>
      <c r="D17" s="14"/>
      <c r="E17" s="176"/>
      <c r="F17" s="176"/>
      <c r="G17" s="176"/>
      <c r="H17" s="176"/>
      <c r="I17" s="176"/>
      <c r="J17" s="129"/>
      <c r="K17" s="130" cm="1">
        <f t="array" ref="K17">SUMPRODUCT(( $C17=CapexCategory)*(K$3&gt;=CapexMonth)*DeprecExp)</f>
        <v>0</v>
      </c>
      <c r="L17" s="130" cm="1">
        <f t="array" ref="L17">SUMPRODUCT(( $C17=CapexCategory)*(L$3&gt;=CapexMonth)*DeprecExp)</f>
        <v>0</v>
      </c>
      <c r="M17" s="130" cm="1">
        <f t="array" ref="M17">SUMPRODUCT(( $C17=CapexCategory)*(M$3&gt;=CapexMonth)*DeprecExp)</f>
        <v>0</v>
      </c>
      <c r="N17" s="130" cm="1">
        <f t="array" ref="N17">SUMPRODUCT(( $C17=CapexCategory)*(N$3&gt;=CapexMonth)*DeprecExp)</f>
        <v>0</v>
      </c>
      <c r="O17" s="130" cm="1">
        <f t="array" ref="O17">SUMPRODUCT(( $C17=CapexCategory)*(O$3&gt;=CapexMonth)*DeprecExp)</f>
        <v>0</v>
      </c>
      <c r="P17" s="130" cm="1">
        <f t="array" ref="P17">SUMPRODUCT(( $C17=CapexCategory)*(P$3&gt;=CapexMonth)*DeprecExp)</f>
        <v>0</v>
      </c>
      <c r="Q17" s="130" cm="1">
        <f t="array" ref="Q17">SUMPRODUCT(( $C17=CapexCategory)*(Q$3&gt;=CapexMonth)*DeprecExp)</f>
        <v>0</v>
      </c>
      <c r="R17" s="130" cm="1">
        <f t="array" ref="R17">SUMPRODUCT(( $C17=CapexCategory)*(R$3&gt;=CapexMonth)*DeprecExp)</f>
        <v>0</v>
      </c>
      <c r="S17" s="130" cm="1">
        <f t="array" ref="S17">SUMPRODUCT(( $C17=CapexCategory)*(S$3&gt;=CapexMonth)*DeprecExp)</f>
        <v>0</v>
      </c>
      <c r="T17" s="130" cm="1">
        <f t="array" ref="T17">SUMPRODUCT(( $C17=CapexCategory)*(T$3&gt;=CapexMonth)*DeprecExp)</f>
        <v>0</v>
      </c>
      <c r="U17" s="130" cm="1">
        <f t="array" ref="U17">SUMPRODUCT(( $C17=CapexCategory)*(U$3&gt;=CapexMonth)*DeprecExp)</f>
        <v>0</v>
      </c>
      <c r="V17" s="128" cm="1">
        <f t="array" ref="V17">SUMPRODUCT(( $C17=CapexCategory)*(V$3&gt;=CapexMonth)*DeprecExp)</f>
        <v>0</v>
      </c>
      <c r="W17" s="130" cm="1">
        <f t="array" ref="W17">SUMPRODUCT(( $C17=CapexCategory)*(W$3&gt;=CapexMonth)*DeprecExp)</f>
        <v>0</v>
      </c>
      <c r="X17" s="130" cm="1">
        <f t="array" ref="X17">SUMPRODUCT(( $C17=CapexCategory)*(X$3&gt;=CapexMonth)*DeprecExp)</f>
        <v>0</v>
      </c>
      <c r="Y17" s="130" cm="1">
        <f t="array" ref="Y17">SUMPRODUCT(( $C17=CapexCategory)*(Y$3&gt;=CapexMonth)*DeprecExp)</f>
        <v>0</v>
      </c>
      <c r="Z17" s="130" cm="1">
        <f t="array" ref="Z17">SUMPRODUCT(( $C17=CapexCategory)*(Z$3&gt;=CapexMonth)*DeprecExp)</f>
        <v>0</v>
      </c>
      <c r="AA17" s="130" cm="1">
        <f t="array" ref="AA17">SUMPRODUCT(( $C17=CapexCategory)*(AA$3&gt;=CapexMonth)*DeprecExp)</f>
        <v>0</v>
      </c>
      <c r="AB17" s="130" cm="1">
        <f t="array" ref="AB17">SUMPRODUCT(( $C17=CapexCategory)*(AB$3&gt;=CapexMonth)*DeprecExp)</f>
        <v>0</v>
      </c>
      <c r="AC17" s="130" cm="1">
        <f t="array" ref="AC17">SUMPRODUCT(( $C17=CapexCategory)*(AC$3&gt;=CapexMonth)*DeprecExp)</f>
        <v>0</v>
      </c>
      <c r="AD17" s="130" cm="1">
        <f t="array" ref="AD17">SUMPRODUCT(( $C17=CapexCategory)*(AD$3&gt;=CapexMonth)*DeprecExp)</f>
        <v>0</v>
      </c>
      <c r="AE17" s="130" cm="1">
        <f t="array" ref="AE17">SUMPRODUCT(( $C17=CapexCategory)*(AE$3&gt;=CapexMonth)*DeprecExp)</f>
        <v>0</v>
      </c>
      <c r="AF17" s="130" cm="1">
        <f t="array" ref="AF17">SUMPRODUCT(( $C17=CapexCategory)*(AF$3&gt;=CapexMonth)*DeprecExp)</f>
        <v>0</v>
      </c>
      <c r="AG17" s="130" cm="1">
        <f t="array" ref="AG17">SUMPRODUCT(( $C17=CapexCategory)*(AG$3&gt;=CapexMonth)*DeprecExp)</f>
        <v>0</v>
      </c>
      <c r="AH17" s="128" cm="1">
        <f t="array" ref="AH17">SUMPRODUCT(( $C17=CapexCategory)*(AH$3&gt;=CapexMonth)*DeprecExp)</f>
        <v>0</v>
      </c>
      <c r="AI17" s="130" cm="1">
        <f t="array" ref="AI17">SUMPRODUCT(( $C17=CapexCategory)*(AI$3&gt;=CapexMonth)*DeprecExp)</f>
        <v>0</v>
      </c>
      <c r="AJ17" s="130" cm="1">
        <f t="array" ref="AJ17">SUMPRODUCT(( $C17=CapexCategory)*(AJ$3&gt;=CapexMonth)*DeprecExp)</f>
        <v>0</v>
      </c>
      <c r="AK17" s="130" cm="1">
        <f t="array" ref="AK17">SUMPRODUCT(( $C17=CapexCategory)*(AK$3&gt;=CapexMonth)*DeprecExp)</f>
        <v>0</v>
      </c>
      <c r="AL17" s="130" cm="1">
        <f t="array" ref="AL17">SUMPRODUCT(( $C17=CapexCategory)*(AL$3&gt;=CapexMonth)*DeprecExp)</f>
        <v>0</v>
      </c>
      <c r="AM17" s="130" cm="1">
        <f t="array" ref="AM17">SUMPRODUCT(( $C17=CapexCategory)*(AM$3&gt;=CapexMonth)*DeprecExp)</f>
        <v>0</v>
      </c>
      <c r="AN17" s="130" cm="1">
        <f t="array" ref="AN17">SUMPRODUCT(( $C17=CapexCategory)*(AN$3&gt;=CapexMonth)*DeprecExp)</f>
        <v>0</v>
      </c>
      <c r="AO17" s="130" cm="1">
        <f t="array" ref="AO17">SUMPRODUCT(( $C17=CapexCategory)*(AO$3&gt;=CapexMonth)*DeprecExp)</f>
        <v>0</v>
      </c>
      <c r="AP17" s="130" cm="1">
        <f t="array" ref="AP17">SUMPRODUCT(( $C17=CapexCategory)*(AP$3&gt;=CapexMonth)*DeprecExp)</f>
        <v>0</v>
      </c>
      <c r="AQ17" s="130" cm="1">
        <f t="array" ref="AQ17">SUMPRODUCT(( $C17=CapexCategory)*(AQ$3&gt;=CapexMonth)*DeprecExp)</f>
        <v>0</v>
      </c>
      <c r="AR17" s="130" cm="1">
        <f t="array" ref="AR17">SUMPRODUCT(( $C17=CapexCategory)*(AR$3&gt;=CapexMonth)*DeprecExp)</f>
        <v>0</v>
      </c>
      <c r="AS17" s="130" cm="1">
        <f t="array" ref="AS17">SUMPRODUCT(( $C17=CapexCategory)*(AS$3&gt;=CapexMonth)*DeprecExp)</f>
        <v>0</v>
      </c>
      <c r="AT17" s="128" cm="1">
        <f t="array" ref="AT17">SUMPRODUCT(( $C17=CapexCategory)*(AT$3&gt;=CapexMonth)*DeprecExp)</f>
        <v>0</v>
      </c>
      <c r="AU17" s="130" cm="1">
        <f t="array" ref="AU17">SUMPRODUCT(( $C17=CapexCategory)*(AU$3&gt;=CapexMonth)*DeprecExp)</f>
        <v>0</v>
      </c>
      <c r="AV17" s="130" cm="1">
        <f t="array" ref="AV17">SUMPRODUCT(( $C17=CapexCategory)*(AV$3&gt;=CapexMonth)*DeprecExp)</f>
        <v>0</v>
      </c>
      <c r="AW17" s="130" cm="1">
        <f t="array" ref="AW17">SUMPRODUCT(( $C17=CapexCategory)*(AW$3&gt;=CapexMonth)*DeprecExp)</f>
        <v>0</v>
      </c>
      <c r="AX17" s="130" cm="1">
        <f t="array" ref="AX17">SUMPRODUCT(( $C17=CapexCategory)*(AX$3&gt;=CapexMonth)*DeprecExp)</f>
        <v>0</v>
      </c>
      <c r="AY17" s="130" cm="1">
        <f t="array" ref="AY17">SUMPRODUCT(( $C17=CapexCategory)*(AY$3&gt;=CapexMonth)*DeprecExp)</f>
        <v>0</v>
      </c>
      <c r="AZ17" s="130" cm="1">
        <f t="array" ref="AZ17">SUMPRODUCT(( $C17=CapexCategory)*(AZ$3&gt;=CapexMonth)*DeprecExp)</f>
        <v>0</v>
      </c>
      <c r="BA17" s="130" cm="1">
        <f t="array" ref="BA17">SUMPRODUCT(( $C17=CapexCategory)*(BA$3&gt;=CapexMonth)*DeprecExp)</f>
        <v>0</v>
      </c>
      <c r="BB17" s="130" cm="1">
        <f t="array" ref="BB17">SUMPRODUCT(( $C17=CapexCategory)*(BB$3&gt;=CapexMonth)*DeprecExp)</f>
        <v>0</v>
      </c>
      <c r="BC17" s="130" cm="1">
        <f t="array" ref="BC17">SUMPRODUCT(( $C17=CapexCategory)*(BC$3&gt;=CapexMonth)*DeprecExp)</f>
        <v>0</v>
      </c>
      <c r="BD17" s="130" cm="1">
        <f t="array" ref="BD17">SUMPRODUCT(( $C17=CapexCategory)*(BD$3&gt;=CapexMonth)*DeprecExp)</f>
        <v>0</v>
      </c>
      <c r="BE17" s="130" cm="1">
        <f t="array" ref="BE17">SUMPRODUCT(( $C17=CapexCategory)*(BE$3&gt;=CapexMonth)*DeprecExp)</f>
        <v>0</v>
      </c>
      <c r="BF17" s="128" cm="1">
        <f t="array" ref="BF17">SUMPRODUCT(( $C17=CapexCategory)*(BF$3&gt;=CapexMonth)*DeprecExp)</f>
        <v>0</v>
      </c>
      <c r="BG17" s="130" cm="1">
        <f t="array" ref="BG17">SUMPRODUCT(( $C17=CapexCategory)*(BG$3&gt;=CapexMonth)*DeprecExp)</f>
        <v>0</v>
      </c>
      <c r="BH17" s="130" cm="1">
        <f t="array" ref="BH17">SUMPRODUCT(( $C17=CapexCategory)*(BH$3&gt;=CapexMonth)*DeprecExp)</f>
        <v>0</v>
      </c>
      <c r="BI17" s="130" cm="1">
        <f t="array" ref="BI17">SUMPRODUCT(( $C17=CapexCategory)*(BI$3&gt;=CapexMonth)*DeprecExp)</f>
        <v>0</v>
      </c>
      <c r="BJ17" s="130" cm="1">
        <f t="array" ref="BJ17">SUMPRODUCT(( $C17=CapexCategory)*(BJ$3&gt;=CapexMonth)*DeprecExp)</f>
        <v>0</v>
      </c>
      <c r="BK17" s="130" cm="1">
        <f t="array" ref="BK17">SUMPRODUCT(( $C17=CapexCategory)*(BK$3&gt;=CapexMonth)*DeprecExp)</f>
        <v>0</v>
      </c>
      <c r="BL17" s="130" cm="1">
        <f t="array" ref="BL17">SUMPRODUCT(( $C17=CapexCategory)*(BL$3&gt;=CapexMonth)*DeprecExp)</f>
        <v>0</v>
      </c>
      <c r="BM17" s="130" cm="1">
        <f t="array" ref="BM17">SUMPRODUCT(( $C17=CapexCategory)*(BM$3&gt;=CapexMonth)*DeprecExp)</f>
        <v>0</v>
      </c>
      <c r="BN17" s="130" cm="1">
        <f t="array" ref="BN17">SUMPRODUCT(( $C17=CapexCategory)*(BN$3&gt;=CapexMonth)*DeprecExp)</f>
        <v>0</v>
      </c>
      <c r="BO17" s="130" cm="1">
        <f t="array" ref="BO17">SUMPRODUCT(( $C17=CapexCategory)*(BO$3&gt;=CapexMonth)*DeprecExp)</f>
        <v>0</v>
      </c>
      <c r="BP17" s="130" cm="1">
        <f t="array" ref="BP17">SUMPRODUCT(( $C17=CapexCategory)*(BP$3&gt;=CapexMonth)*DeprecExp)</f>
        <v>0</v>
      </c>
      <c r="BQ17" s="130" cm="1">
        <f t="array" ref="BQ17">SUMPRODUCT(( $C17=CapexCategory)*(BQ$3&gt;=CapexMonth)*DeprecExp)</f>
        <v>0</v>
      </c>
      <c r="BR17" s="128" cm="1">
        <f t="array" ref="BR17">SUMPRODUCT(( $C17=CapexCategory)*(BR$3&gt;=CapexMonth)*DeprecExp)</f>
        <v>0</v>
      </c>
    </row>
    <row r="18" spans="1:70" ht="13.2" x14ac:dyDescent="0.3">
      <c r="C18" s="111" t="s">
        <v>98</v>
      </c>
      <c r="D18" s="14"/>
      <c r="E18" s="112">
        <f t="shared" ref="E18:E19" si="11">SUM(K18:V18)</f>
        <v>0</v>
      </c>
      <c r="F18" s="112">
        <f t="shared" ref="F18:F19" si="12">SUM(W18:AH18)</f>
        <v>0</v>
      </c>
      <c r="G18" s="112">
        <f t="shared" ref="G18:G19" si="13">SUM(AI18:AT18)</f>
        <v>0</v>
      </c>
      <c r="H18" s="112">
        <f t="shared" ref="H18:H19" si="14">SUM(AU18:BF18)</f>
        <v>0</v>
      </c>
      <c r="I18" s="112">
        <f t="shared" ref="I18:I19" si="15">SUM(BG18:BR18)</f>
        <v>0</v>
      </c>
      <c r="J18" s="129"/>
      <c r="K18" s="99" cm="1">
        <f t="array" ref="K18">SUMPRODUCT(   ((ISBLANK(CapexCategory) + (CapexCategory="Other"))&gt;0) * (K$3&gt;=CapexMonth)*(K$3&lt;=DeprecStop)*DeprecExp)</f>
        <v>0</v>
      </c>
      <c r="L18" s="99" cm="1">
        <f t="array" ref="L18">SUMPRODUCT(   ((ISBLANK(CapexCategory) + (CapexCategory="Other"))&gt;0) * (L$3&gt;=CapexMonth)*(L$3&lt;=DeprecStop)*DeprecExp)</f>
        <v>0</v>
      </c>
      <c r="M18" s="99" cm="1">
        <f t="array" ref="M18">SUMPRODUCT(   ((ISBLANK(CapexCategory) + (CapexCategory="Other"))&gt;0) * (M$3&gt;=CapexMonth)*(M$3&lt;=DeprecStop)*DeprecExp)</f>
        <v>0</v>
      </c>
      <c r="N18" s="99" cm="1">
        <f t="array" ref="N18">SUMPRODUCT(   ((ISBLANK(CapexCategory) + (CapexCategory="Other"))&gt;0) * (N$3&gt;=CapexMonth)*(N$3&lt;=DeprecStop)*DeprecExp)</f>
        <v>0</v>
      </c>
      <c r="O18" s="99" cm="1">
        <f t="array" ref="O18">SUMPRODUCT(   ((ISBLANK(CapexCategory) + (CapexCategory="Other"))&gt;0) * (O$3&gt;=CapexMonth)*(O$3&lt;=DeprecStop)*DeprecExp)</f>
        <v>0</v>
      </c>
      <c r="P18" s="99" cm="1">
        <f t="array" ref="P18">SUMPRODUCT(   ((ISBLANK(CapexCategory) + (CapexCategory="Other"))&gt;0) * (P$3&gt;=CapexMonth)*(P$3&lt;=DeprecStop)*DeprecExp)</f>
        <v>0</v>
      </c>
      <c r="Q18" s="99" cm="1">
        <f t="array" ref="Q18">SUMPRODUCT(   ((ISBLANK(CapexCategory) + (CapexCategory="Other"))&gt;0) * (Q$3&gt;=CapexMonth)*(Q$3&lt;=DeprecStop)*DeprecExp)</f>
        <v>0</v>
      </c>
      <c r="R18" s="99" cm="1">
        <f t="array" ref="R18">SUMPRODUCT(   ((ISBLANK(CapexCategory) + (CapexCategory="Other"))&gt;0) * (R$3&gt;=CapexMonth)*(R$3&lt;=DeprecStop)*DeprecExp)</f>
        <v>0</v>
      </c>
      <c r="S18" s="99" cm="1">
        <f t="array" ref="S18">SUMPRODUCT(   ((ISBLANK(CapexCategory) + (CapexCategory="Other"))&gt;0) * (S$3&gt;=CapexMonth)*(S$3&lt;=DeprecStop)*DeprecExp)</f>
        <v>0</v>
      </c>
      <c r="T18" s="99" cm="1">
        <f t="array" ref="T18">SUMPRODUCT(   ((ISBLANK(CapexCategory) + (CapexCategory="Other"))&gt;0) * (T$3&gt;=CapexMonth)*(T$3&lt;=DeprecStop)*DeprecExp)</f>
        <v>0</v>
      </c>
      <c r="U18" s="99" cm="1">
        <f t="array" ref="U18">SUMPRODUCT(   ((ISBLANK(CapexCategory) + (CapexCategory="Other"))&gt;0) * (U$3&gt;=CapexMonth)*(U$3&lt;=DeprecStop)*DeprecExp)</f>
        <v>0</v>
      </c>
      <c r="V18" s="112" cm="1">
        <f t="array" ref="V18">SUMPRODUCT(   ((ISBLANK(CapexCategory) + (CapexCategory="Other"))&gt;0) * (V$3&gt;=CapexMonth)*(V$3&lt;=DeprecStop)*DeprecExp)</f>
        <v>0</v>
      </c>
      <c r="W18" s="99" cm="1">
        <f t="array" ref="W18">SUMPRODUCT(   ((ISBLANK(CapexCategory) + (CapexCategory="Other"))&gt;0) * (W$3&gt;=CapexMonth)*(W$3&lt;=DeprecStop)*DeprecExp)</f>
        <v>0</v>
      </c>
      <c r="X18" s="99" cm="1">
        <f t="array" ref="X18">SUMPRODUCT(   ((ISBLANK(CapexCategory) + (CapexCategory="Other"))&gt;0) * (X$3&gt;=CapexMonth)*(X$3&lt;=DeprecStop)*DeprecExp)</f>
        <v>0</v>
      </c>
      <c r="Y18" s="99" cm="1">
        <f t="array" ref="Y18">SUMPRODUCT(   ((ISBLANK(CapexCategory) + (CapexCategory="Other"))&gt;0) * (Y$3&gt;=CapexMonth)*(Y$3&lt;=DeprecStop)*DeprecExp)</f>
        <v>0</v>
      </c>
      <c r="Z18" s="99" cm="1">
        <f t="array" ref="Z18">SUMPRODUCT(   ((ISBLANK(CapexCategory) + (CapexCategory="Other"))&gt;0) * (Z$3&gt;=CapexMonth)*(Z$3&lt;=DeprecStop)*DeprecExp)</f>
        <v>0</v>
      </c>
      <c r="AA18" s="99" cm="1">
        <f t="array" ref="AA18">SUMPRODUCT(   ((ISBLANK(CapexCategory) + (CapexCategory="Other"))&gt;0) * (AA$3&gt;=CapexMonth)*(AA$3&lt;=DeprecStop)*DeprecExp)</f>
        <v>0</v>
      </c>
      <c r="AB18" s="99" cm="1">
        <f t="array" ref="AB18">SUMPRODUCT(   ((ISBLANK(CapexCategory) + (CapexCategory="Other"))&gt;0) * (AB$3&gt;=CapexMonth)*(AB$3&lt;=DeprecStop)*DeprecExp)</f>
        <v>0</v>
      </c>
      <c r="AC18" s="99" cm="1">
        <f t="array" ref="AC18">SUMPRODUCT(   ((ISBLANK(CapexCategory) + (CapexCategory="Other"))&gt;0) * (AC$3&gt;=CapexMonth)*(AC$3&lt;=DeprecStop)*DeprecExp)</f>
        <v>0</v>
      </c>
      <c r="AD18" s="99" cm="1">
        <f t="array" ref="AD18">SUMPRODUCT(   ((ISBLANK(CapexCategory) + (CapexCategory="Other"))&gt;0) * (AD$3&gt;=CapexMonth)*(AD$3&lt;=DeprecStop)*DeprecExp)</f>
        <v>0</v>
      </c>
      <c r="AE18" s="99" cm="1">
        <f t="array" ref="AE18">SUMPRODUCT(   ((ISBLANK(CapexCategory) + (CapexCategory="Other"))&gt;0) * (AE$3&gt;=CapexMonth)*(AE$3&lt;=DeprecStop)*DeprecExp)</f>
        <v>0</v>
      </c>
      <c r="AF18" s="99" cm="1">
        <f t="array" ref="AF18">SUMPRODUCT(   ((ISBLANK(CapexCategory) + (CapexCategory="Other"))&gt;0) * (AF$3&gt;=CapexMonth)*(AF$3&lt;=DeprecStop)*DeprecExp)</f>
        <v>0</v>
      </c>
      <c r="AG18" s="99" cm="1">
        <f t="array" ref="AG18">SUMPRODUCT(   ((ISBLANK(CapexCategory) + (CapexCategory="Other"))&gt;0) * (AG$3&gt;=CapexMonth)*(AG$3&lt;=DeprecStop)*DeprecExp)</f>
        <v>0</v>
      </c>
      <c r="AH18" s="112" cm="1">
        <f t="array" ref="AH18">SUMPRODUCT(   ((ISBLANK(CapexCategory) + (CapexCategory="Other"))&gt;0) * (AH$3&gt;=CapexMonth)*(AH$3&lt;=DeprecStop)*DeprecExp)</f>
        <v>0</v>
      </c>
      <c r="AI18" s="99" cm="1">
        <f t="array" ref="AI18">SUMPRODUCT(   ((ISBLANK(CapexCategory) + (CapexCategory="Other"))&gt;0) * (AI$3&gt;=CapexMonth)*(AI$3&lt;=DeprecStop)*DeprecExp)</f>
        <v>0</v>
      </c>
      <c r="AJ18" s="99" cm="1">
        <f t="array" ref="AJ18">SUMPRODUCT(   ((ISBLANK(CapexCategory) + (CapexCategory="Other"))&gt;0) * (AJ$3&gt;=CapexMonth)*(AJ$3&lt;=DeprecStop)*DeprecExp)</f>
        <v>0</v>
      </c>
      <c r="AK18" s="99" cm="1">
        <f t="array" ref="AK18">SUMPRODUCT(   ((ISBLANK(CapexCategory) + (CapexCategory="Other"))&gt;0) * (AK$3&gt;=CapexMonth)*(AK$3&lt;=DeprecStop)*DeprecExp)</f>
        <v>0</v>
      </c>
      <c r="AL18" s="99" cm="1">
        <f t="array" ref="AL18">SUMPRODUCT(   ((ISBLANK(CapexCategory) + (CapexCategory="Other"))&gt;0) * (AL$3&gt;=CapexMonth)*(AL$3&lt;=DeprecStop)*DeprecExp)</f>
        <v>0</v>
      </c>
      <c r="AM18" s="99" cm="1">
        <f t="array" ref="AM18">SUMPRODUCT(   ((ISBLANK(CapexCategory) + (CapexCategory="Other"))&gt;0) * (AM$3&gt;=CapexMonth)*(AM$3&lt;=DeprecStop)*DeprecExp)</f>
        <v>0</v>
      </c>
      <c r="AN18" s="99" cm="1">
        <f t="array" ref="AN18">SUMPRODUCT(   ((ISBLANK(CapexCategory) + (CapexCategory="Other"))&gt;0) * (AN$3&gt;=CapexMonth)*(AN$3&lt;=DeprecStop)*DeprecExp)</f>
        <v>0</v>
      </c>
      <c r="AO18" s="99" cm="1">
        <f t="array" ref="AO18">SUMPRODUCT(   ((ISBLANK(CapexCategory) + (CapexCategory="Other"))&gt;0) * (AO$3&gt;=CapexMonth)*(AO$3&lt;=DeprecStop)*DeprecExp)</f>
        <v>0</v>
      </c>
      <c r="AP18" s="99" cm="1">
        <f t="array" ref="AP18">SUMPRODUCT(   ((ISBLANK(CapexCategory) + (CapexCategory="Other"))&gt;0) * (AP$3&gt;=CapexMonth)*(AP$3&lt;=DeprecStop)*DeprecExp)</f>
        <v>0</v>
      </c>
      <c r="AQ18" s="99" cm="1">
        <f t="array" ref="AQ18">SUMPRODUCT(   ((ISBLANK(CapexCategory) + (CapexCategory="Other"))&gt;0) * (AQ$3&gt;=CapexMonth)*(AQ$3&lt;=DeprecStop)*DeprecExp)</f>
        <v>0</v>
      </c>
      <c r="AR18" s="99" cm="1">
        <f t="array" ref="AR18">SUMPRODUCT(   ((ISBLANK(CapexCategory) + (CapexCategory="Other"))&gt;0) * (AR$3&gt;=CapexMonth)*(AR$3&lt;=DeprecStop)*DeprecExp)</f>
        <v>0</v>
      </c>
      <c r="AS18" s="99" cm="1">
        <f t="array" ref="AS18">SUMPRODUCT(   ((ISBLANK(CapexCategory) + (CapexCategory="Other"))&gt;0) * (AS$3&gt;=CapexMonth)*(AS$3&lt;=DeprecStop)*DeprecExp)</f>
        <v>0</v>
      </c>
      <c r="AT18" s="112" cm="1">
        <f t="array" ref="AT18">SUMPRODUCT(   ((ISBLANK(CapexCategory) + (CapexCategory="Other"))&gt;0) * (AT$3&gt;=CapexMonth)*(AT$3&lt;=DeprecStop)*DeprecExp)</f>
        <v>0</v>
      </c>
      <c r="AU18" s="99" cm="1">
        <f t="array" ref="AU18">SUMPRODUCT(   ((ISBLANK(CapexCategory) + (CapexCategory="Other"))&gt;0) * (AU$3&gt;=CapexMonth)*(AU$3&lt;=DeprecStop)*DeprecExp)</f>
        <v>0</v>
      </c>
      <c r="AV18" s="99" cm="1">
        <f t="array" ref="AV18">SUMPRODUCT(   ((ISBLANK(CapexCategory) + (CapexCategory="Other"))&gt;0) * (AV$3&gt;=CapexMonth)*(AV$3&lt;=DeprecStop)*DeprecExp)</f>
        <v>0</v>
      </c>
      <c r="AW18" s="99" cm="1">
        <f t="array" ref="AW18">SUMPRODUCT(   ((ISBLANK(CapexCategory) + (CapexCategory="Other"))&gt;0) * (AW$3&gt;=CapexMonth)*(AW$3&lt;=DeprecStop)*DeprecExp)</f>
        <v>0</v>
      </c>
      <c r="AX18" s="99" cm="1">
        <f t="array" ref="AX18">SUMPRODUCT(   ((ISBLANK(CapexCategory) + (CapexCategory="Other"))&gt;0) * (AX$3&gt;=CapexMonth)*(AX$3&lt;=DeprecStop)*DeprecExp)</f>
        <v>0</v>
      </c>
      <c r="AY18" s="99" cm="1">
        <f t="array" ref="AY18">SUMPRODUCT(   ((ISBLANK(CapexCategory) + (CapexCategory="Other"))&gt;0) * (AY$3&gt;=CapexMonth)*(AY$3&lt;=DeprecStop)*DeprecExp)</f>
        <v>0</v>
      </c>
      <c r="AZ18" s="99" cm="1">
        <f t="array" ref="AZ18">SUMPRODUCT(   ((ISBLANK(CapexCategory) + (CapexCategory="Other"))&gt;0) * (AZ$3&gt;=CapexMonth)*(AZ$3&lt;=DeprecStop)*DeprecExp)</f>
        <v>0</v>
      </c>
      <c r="BA18" s="99" cm="1">
        <f t="array" ref="BA18">SUMPRODUCT(   ((ISBLANK(CapexCategory) + (CapexCategory="Other"))&gt;0) * (BA$3&gt;=CapexMonth)*(BA$3&lt;=DeprecStop)*DeprecExp)</f>
        <v>0</v>
      </c>
      <c r="BB18" s="99" cm="1">
        <f t="array" ref="BB18">SUMPRODUCT(   ((ISBLANK(CapexCategory) + (CapexCategory="Other"))&gt;0) * (BB$3&gt;=CapexMonth)*(BB$3&lt;=DeprecStop)*DeprecExp)</f>
        <v>0</v>
      </c>
      <c r="BC18" s="99" cm="1">
        <f t="array" ref="BC18">SUMPRODUCT(   ((ISBLANK(CapexCategory) + (CapexCategory="Other"))&gt;0) * (BC$3&gt;=CapexMonth)*(BC$3&lt;=DeprecStop)*DeprecExp)</f>
        <v>0</v>
      </c>
      <c r="BD18" s="99" cm="1">
        <f t="array" ref="BD18">SUMPRODUCT(   ((ISBLANK(CapexCategory) + (CapexCategory="Other"))&gt;0) * (BD$3&gt;=CapexMonth)*(BD$3&lt;=DeprecStop)*DeprecExp)</f>
        <v>0</v>
      </c>
      <c r="BE18" s="99" cm="1">
        <f t="array" ref="BE18">SUMPRODUCT(   ((ISBLANK(CapexCategory) + (CapexCategory="Other"))&gt;0) * (BE$3&gt;=CapexMonth)*(BE$3&lt;=DeprecStop)*DeprecExp)</f>
        <v>0</v>
      </c>
      <c r="BF18" s="112" cm="1">
        <f t="array" ref="BF18">SUMPRODUCT(   ((ISBLANK(CapexCategory) + (CapexCategory="Other"))&gt;0) * (BF$3&gt;=CapexMonth)*(BF$3&lt;=DeprecStop)*DeprecExp)</f>
        <v>0</v>
      </c>
      <c r="BG18" s="99" cm="1">
        <f t="array" ref="BG18">SUMPRODUCT(   ((ISBLANK(CapexCategory) + (CapexCategory="Other"))&gt;0) * (BG$3&gt;=CapexMonth)*(BG$3&lt;=DeprecStop)*DeprecExp)</f>
        <v>0</v>
      </c>
      <c r="BH18" s="99" cm="1">
        <f t="array" ref="BH18">SUMPRODUCT(   ((ISBLANK(CapexCategory) + (CapexCategory="Other"))&gt;0) * (BH$3&gt;=CapexMonth)*(BH$3&lt;=DeprecStop)*DeprecExp)</f>
        <v>0</v>
      </c>
      <c r="BI18" s="99" cm="1">
        <f t="array" ref="BI18">SUMPRODUCT(   ((ISBLANK(CapexCategory) + (CapexCategory="Other"))&gt;0) * (BI$3&gt;=CapexMonth)*(BI$3&lt;=DeprecStop)*DeprecExp)</f>
        <v>0</v>
      </c>
      <c r="BJ18" s="99" cm="1">
        <f t="array" ref="BJ18">SUMPRODUCT(   ((ISBLANK(CapexCategory) + (CapexCategory="Other"))&gt;0) * (BJ$3&gt;=CapexMonth)*(BJ$3&lt;=DeprecStop)*DeprecExp)</f>
        <v>0</v>
      </c>
      <c r="BK18" s="99" cm="1">
        <f t="array" ref="BK18">SUMPRODUCT(   ((ISBLANK(CapexCategory) + (CapexCategory="Other"))&gt;0) * (BK$3&gt;=CapexMonth)*(BK$3&lt;=DeprecStop)*DeprecExp)</f>
        <v>0</v>
      </c>
      <c r="BL18" s="99" cm="1">
        <f t="array" ref="BL18">SUMPRODUCT(   ((ISBLANK(CapexCategory) + (CapexCategory="Other"))&gt;0) * (BL$3&gt;=CapexMonth)*(BL$3&lt;=DeprecStop)*DeprecExp)</f>
        <v>0</v>
      </c>
      <c r="BM18" s="99" cm="1">
        <f t="array" ref="BM18">SUMPRODUCT(   ((ISBLANK(CapexCategory) + (CapexCategory="Other"))&gt;0) * (BM$3&gt;=CapexMonth)*(BM$3&lt;=DeprecStop)*DeprecExp)</f>
        <v>0</v>
      </c>
      <c r="BN18" s="99" cm="1">
        <f t="array" ref="BN18">SUMPRODUCT(   ((ISBLANK(CapexCategory) + (CapexCategory="Other"))&gt;0) * (BN$3&gt;=CapexMonth)*(BN$3&lt;=DeprecStop)*DeprecExp)</f>
        <v>0</v>
      </c>
      <c r="BO18" s="99" cm="1">
        <f t="array" ref="BO18">SUMPRODUCT(   ((ISBLANK(CapexCategory) + (CapexCategory="Other"))&gt;0) * (BO$3&gt;=CapexMonth)*(BO$3&lt;=DeprecStop)*DeprecExp)</f>
        <v>0</v>
      </c>
      <c r="BP18" s="99" cm="1">
        <f t="array" ref="BP18">SUMPRODUCT(   ((ISBLANK(CapexCategory) + (CapexCategory="Other"))&gt;0) * (BP$3&gt;=CapexMonth)*(BP$3&lt;=DeprecStop)*DeprecExp)</f>
        <v>0</v>
      </c>
      <c r="BQ18" s="99" cm="1">
        <f t="array" ref="BQ18">SUMPRODUCT(   ((ISBLANK(CapexCategory) + (CapexCategory="Other"))&gt;0) * (BQ$3&gt;=CapexMonth)*(BQ$3&lt;=DeprecStop)*DeprecExp)</f>
        <v>0</v>
      </c>
      <c r="BR18" s="112" cm="1">
        <f t="array" ref="BR18">SUMPRODUCT(   ((ISBLANK(CapexCategory) + (CapexCategory="Other"))&gt;0) * (BR$3&gt;=CapexMonth)*(BR$3&lt;=DeprecStop)*DeprecExp)</f>
        <v>0</v>
      </c>
    </row>
    <row r="19" spans="1:70" s="49" customFormat="1" ht="13.2" x14ac:dyDescent="0.3">
      <c r="A19" s="37"/>
      <c r="B19" s="13"/>
      <c r="C19" s="131" t="s">
        <v>68</v>
      </c>
      <c r="D19" s="77"/>
      <c r="E19" s="96">
        <f t="shared" si="11"/>
        <v>54.000000000000014</v>
      </c>
      <c r="F19" s="96">
        <f t="shared" si="12"/>
        <v>50.000000000000007</v>
      </c>
      <c r="G19" s="96">
        <f t="shared" si="13"/>
        <v>0</v>
      </c>
      <c r="H19" s="96">
        <f t="shared" si="14"/>
        <v>0</v>
      </c>
      <c r="I19" s="96">
        <f t="shared" si="15"/>
        <v>0</v>
      </c>
      <c r="J19" s="129"/>
      <c r="K19" s="97">
        <f>SUM(K13:K18)</f>
        <v>0.4</v>
      </c>
      <c r="L19" s="97">
        <f t="shared" ref="L19:BR19" si="16">SUM(L13:L18)</f>
        <v>0.4</v>
      </c>
      <c r="M19" s="97">
        <f t="shared" si="16"/>
        <v>0.4</v>
      </c>
      <c r="N19" s="97">
        <f t="shared" si="16"/>
        <v>0.4</v>
      </c>
      <c r="O19" s="97">
        <f t="shared" si="16"/>
        <v>0.4</v>
      </c>
      <c r="P19" s="97">
        <f t="shared" si="16"/>
        <v>7.5428571428571436</v>
      </c>
      <c r="Q19" s="97">
        <f t="shared" si="16"/>
        <v>7.5428571428571436</v>
      </c>
      <c r="R19" s="97">
        <f t="shared" si="16"/>
        <v>7.5428571428571436</v>
      </c>
      <c r="S19" s="97">
        <f t="shared" si="16"/>
        <v>7.5428571428571436</v>
      </c>
      <c r="T19" s="97">
        <f t="shared" si="16"/>
        <v>7.5428571428571436</v>
      </c>
      <c r="U19" s="97">
        <f t="shared" si="16"/>
        <v>7.1428571428571432</v>
      </c>
      <c r="V19" s="96">
        <f t="shared" si="16"/>
        <v>7.1428571428571432</v>
      </c>
      <c r="W19" s="97">
        <f t="shared" si="16"/>
        <v>7.1428571428571432</v>
      </c>
      <c r="X19" s="97">
        <f t="shared" si="16"/>
        <v>7.1428571428571432</v>
      </c>
      <c r="Y19" s="97">
        <f t="shared" si="16"/>
        <v>7.1428571428571432</v>
      </c>
      <c r="Z19" s="97">
        <f t="shared" si="16"/>
        <v>7.1428571428571432</v>
      </c>
      <c r="AA19" s="97">
        <f t="shared" si="16"/>
        <v>7.1428571428571432</v>
      </c>
      <c r="AB19" s="97">
        <f t="shared" si="16"/>
        <v>7.1428571428571432</v>
      </c>
      <c r="AC19" s="97">
        <f t="shared" si="16"/>
        <v>7.1428571428571432</v>
      </c>
      <c r="AD19" s="97">
        <f t="shared" si="16"/>
        <v>0</v>
      </c>
      <c r="AE19" s="97">
        <f t="shared" si="16"/>
        <v>0</v>
      </c>
      <c r="AF19" s="97">
        <f t="shared" si="16"/>
        <v>0</v>
      </c>
      <c r="AG19" s="97">
        <f t="shared" si="16"/>
        <v>0</v>
      </c>
      <c r="AH19" s="96">
        <f t="shared" si="16"/>
        <v>0</v>
      </c>
      <c r="AI19" s="97">
        <f t="shared" si="16"/>
        <v>0</v>
      </c>
      <c r="AJ19" s="97">
        <f t="shared" si="16"/>
        <v>0</v>
      </c>
      <c r="AK19" s="97">
        <f t="shared" si="16"/>
        <v>0</v>
      </c>
      <c r="AL19" s="97">
        <f t="shared" si="16"/>
        <v>0</v>
      </c>
      <c r="AM19" s="97">
        <f t="shared" si="16"/>
        <v>0</v>
      </c>
      <c r="AN19" s="97">
        <f t="shared" si="16"/>
        <v>0</v>
      </c>
      <c r="AO19" s="97">
        <f t="shared" si="16"/>
        <v>0</v>
      </c>
      <c r="AP19" s="97">
        <f t="shared" si="16"/>
        <v>0</v>
      </c>
      <c r="AQ19" s="97">
        <f t="shared" si="16"/>
        <v>0</v>
      </c>
      <c r="AR19" s="97">
        <f t="shared" si="16"/>
        <v>0</v>
      </c>
      <c r="AS19" s="97">
        <f t="shared" si="16"/>
        <v>0</v>
      </c>
      <c r="AT19" s="96">
        <f t="shared" si="16"/>
        <v>0</v>
      </c>
      <c r="AU19" s="97">
        <f t="shared" si="16"/>
        <v>0</v>
      </c>
      <c r="AV19" s="97">
        <f t="shared" si="16"/>
        <v>0</v>
      </c>
      <c r="AW19" s="97">
        <f t="shared" si="16"/>
        <v>0</v>
      </c>
      <c r="AX19" s="97">
        <f t="shared" si="16"/>
        <v>0</v>
      </c>
      <c r="AY19" s="97">
        <f t="shared" si="16"/>
        <v>0</v>
      </c>
      <c r="AZ19" s="97">
        <f t="shared" si="16"/>
        <v>0</v>
      </c>
      <c r="BA19" s="97">
        <f t="shared" si="16"/>
        <v>0</v>
      </c>
      <c r="BB19" s="97">
        <f t="shared" si="16"/>
        <v>0</v>
      </c>
      <c r="BC19" s="97">
        <f t="shared" si="16"/>
        <v>0</v>
      </c>
      <c r="BD19" s="97">
        <f t="shared" si="16"/>
        <v>0</v>
      </c>
      <c r="BE19" s="97">
        <f t="shared" si="16"/>
        <v>0</v>
      </c>
      <c r="BF19" s="96">
        <f t="shared" si="16"/>
        <v>0</v>
      </c>
      <c r="BG19" s="97">
        <f t="shared" si="16"/>
        <v>0</v>
      </c>
      <c r="BH19" s="97">
        <f t="shared" si="16"/>
        <v>0</v>
      </c>
      <c r="BI19" s="97">
        <f t="shared" si="16"/>
        <v>0</v>
      </c>
      <c r="BJ19" s="97">
        <f t="shared" si="16"/>
        <v>0</v>
      </c>
      <c r="BK19" s="97">
        <f t="shared" si="16"/>
        <v>0</v>
      </c>
      <c r="BL19" s="97">
        <f t="shared" si="16"/>
        <v>0</v>
      </c>
      <c r="BM19" s="97">
        <f t="shared" si="16"/>
        <v>0</v>
      </c>
      <c r="BN19" s="97">
        <f t="shared" si="16"/>
        <v>0</v>
      </c>
      <c r="BO19" s="97">
        <f t="shared" si="16"/>
        <v>0</v>
      </c>
      <c r="BP19" s="97">
        <f t="shared" si="16"/>
        <v>0</v>
      </c>
      <c r="BQ19" s="97">
        <f t="shared" si="16"/>
        <v>0</v>
      </c>
      <c r="BR19" s="96">
        <f t="shared" si="16"/>
        <v>0</v>
      </c>
    </row>
    <row r="20" spans="1:70" ht="13.2" x14ac:dyDescent="0.3">
      <c r="E20" s="113"/>
      <c r="F20" s="113"/>
      <c r="G20" s="113"/>
      <c r="H20" s="113"/>
      <c r="I20" s="113"/>
      <c r="J20" s="129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</row>
    <row r="21" spans="1:70" ht="13.2" x14ac:dyDescent="0.3">
      <c r="C21" s="61" t="s">
        <v>93</v>
      </c>
      <c r="D21" s="14"/>
      <c r="E21" s="176">
        <f t="shared" ref="E21:E24" si="17">V21</f>
        <v>0</v>
      </c>
      <c r="F21" s="176">
        <f t="shared" ref="F21:F24" si="18">AH21</f>
        <v>0</v>
      </c>
      <c r="G21" s="176">
        <f t="shared" ref="G21:G24" si="19">AT21</f>
        <v>0</v>
      </c>
      <c r="H21" s="176">
        <f t="shared" ref="H21:H24" si="20">BF21</f>
        <v>0</v>
      </c>
      <c r="I21" s="176">
        <f t="shared" ref="I21:I24" si="21">BR21</f>
        <v>0</v>
      </c>
      <c r="J21" s="129"/>
      <c r="K21" s="175" cm="1">
        <f t="array" ref="K21">SUMPRODUCT( (CapexCategory=$C21)*(K$3&gt;=CapexMonth) * (K$3&lt;=DeprecStop)* ((K$3-CapexMonth+1)*-DeprecExp) )</f>
        <v>0</v>
      </c>
      <c r="L21" s="175" cm="1">
        <f t="array" ref="L21">SUMPRODUCT( (CapexCategory=$C21)*(L$3&gt;=CapexMonth) * (L$3&lt;=DeprecStop)* ((L$3-CapexMonth+1)*-DeprecExp) )</f>
        <v>0</v>
      </c>
      <c r="M21" s="175" cm="1">
        <f t="array" ref="M21">SUMPRODUCT( (CapexCategory=$C21)*(M$3&gt;=CapexMonth) * (M$3&lt;=DeprecStop)* ((M$3-CapexMonth+1)*-DeprecExp) )</f>
        <v>0</v>
      </c>
      <c r="N21" s="175" cm="1">
        <f t="array" ref="N21">SUMPRODUCT( (CapexCategory=$C21)*(N$3&gt;=CapexMonth) * (N$3&lt;=DeprecStop)* ((N$3-CapexMonth+1)*-DeprecExp) )</f>
        <v>0</v>
      </c>
      <c r="O21" s="175" cm="1">
        <f t="array" ref="O21">SUMPRODUCT( (CapexCategory=$C21)*(O$3&gt;=CapexMonth) * (O$3&lt;=DeprecStop)* ((O$3-CapexMonth+1)*-DeprecExp) )</f>
        <v>0</v>
      </c>
      <c r="P21" s="175" cm="1">
        <f t="array" ref="P21">SUMPRODUCT( (CapexCategory=$C21)*(P$3&gt;=CapexMonth) * (P$3&lt;=DeprecStop)* ((P$3-CapexMonth+1)*-DeprecExp) )</f>
        <v>0</v>
      </c>
      <c r="Q21" s="175" cm="1">
        <f t="array" ref="Q21">SUMPRODUCT( (CapexCategory=$C21)*(Q$3&gt;=CapexMonth) * (Q$3&lt;=DeprecStop)* ((Q$3-CapexMonth+1)*-DeprecExp) )</f>
        <v>0</v>
      </c>
      <c r="R21" s="175" cm="1">
        <f t="array" ref="R21">SUMPRODUCT( (CapexCategory=$C21)*(R$3&gt;=CapexMonth) * (R$3&lt;=DeprecStop)* ((R$3-CapexMonth+1)*-DeprecExp) )</f>
        <v>0</v>
      </c>
      <c r="S21" s="175" cm="1">
        <f t="array" ref="S21">SUMPRODUCT( (CapexCategory=$C21)*(S$3&gt;=CapexMonth) * (S$3&lt;=DeprecStop)* ((S$3-CapexMonth+1)*-DeprecExp) )</f>
        <v>0</v>
      </c>
      <c r="T21" s="175" cm="1">
        <f t="array" ref="T21">SUMPRODUCT( (CapexCategory=$C21)*(T$3&gt;=CapexMonth) * (T$3&lt;=DeprecStop)* ((T$3-CapexMonth+1)*-DeprecExp) )</f>
        <v>0</v>
      </c>
      <c r="U21" s="175" cm="1">
        <f t="array" ref="U21">SUMPRODUCT( (CapexCategory=$C21)*(U$3&gt;=CapexMonth) * (U$3&lt;=DeprecStop)* ((U$3-CapexMonth+1)*-DeprecExp) )</f>
        <v>0</v>
      </c>
      <c r="V21" s="176" cm="1">
        <f t="array" ref="V21">SUMPRODUCT( (CapexCategory=$C21)*(V$3&gt;=CapexMonth) * (V$3&lt;=DeprecStop)* ((V$3-CapexMonth+1)*-DeprecExp) )</f>
        <v>0</v>
      </c>
      <c r="W21" s="175" cm="1">
        <f t="array" ref="W21">SUMPRODUCT( (CapexCategory=$C21)*(W$3&gt;=CapexMonth) * (W$3&lt;=DeprecStop)* ((W$3-CapexMonth+1)*-DeprecExp) )</f>
        <v>0</v>
      </c>
      <c r="X21" s="175" cm="1">
        <f t="array" ref="X21">SUMPRODUCT( (CapexCategory=$C21)*(X$3&gt;=CapexMonth) * (X$3&lt;=DeprecStop)* ((X$3-CapexMonth+1)*-DeprecExp) )</f>
        <v>0</v>
      </c>
      <c r="Y21" s="175" cm="1">
        <f t="array" ref="Y21">SUMPRODUCT( (CapexCategory=$C21)*(Y$3&gt;=CapexMonth) * (Y$3&lt;=DeprecStop)* ((Y$3-CapexMonth+1)*-DeprecExp) )</f>
        <v>0</v>
      </c>
      <c r="Z21" s="175" cm="1">
        <f t="array" ref="Z21">SUMPRODUCT( (CapexCategory=$C21)*(Z$3&gt;=CapexMonth) * (Z$3&lt;=DeprecStop)* ((Z$3-CapexMonth+1)*-DeprecExp) )</f>
        <v>0</v>
      </c>
      <c r="AA21" s="175" cm="1">
        <f t="array" ref="AA21">SUMPRODUCT( (CapexCategory=$C21)*(AA$3&gt;=CapexMonth) * (AA$3&lt;=DeprecStop)* ((AA$3-CapexMonth+1)*-DeprecExp) )</f>
        <v>0</v>
      </c>
      <c r="AB21" s="175" cm="1">
        <f t="array" ref="AB21">SUMPRODUCT( (CapexCategory=$C21)*(AB$3&gt;=CapexMonth) * (AB$3&lt;=DeprecStop)* ((AB$3-CapexMonth+1)*-DeprecExp) )</f>
        <v>0</v>
      </c>
      <c r="AC21" s="175" cm="1">
        <f t="array" ref="AC21">SUMPRODUCT( (CapexCategory=$C21)*(AC$3&gt;=CapexMonth) * (AC$3&lt;=DeprecStop)* ((AC$3-CapexMonth+1)*-DeprecExp) )</f>
        <v>0</v>
      </c>
      <c r="AD21" s="175" cm="1">
        <f t="array" ref="AD21">SUMPRODUCT( (CapexCategory=$C21)*(AD$3&gt;=CapexMonth) * (AD$3&lt;=DeprecStop)* ((AD$3-CapexMonth+1)*-DeprecExp) )</f>
        <v>0</v>
      </c>
      <c r="AE21" s="175" cm="1">
        <f t="array" ref="AE21">SUMPRODUCT( (CapexCategory=$C21)*(AE$3&gt;=CapexMonth) * (AE$3&lt;=DeprecStop)* ((AE$3-CapexMonth+1)*-DeprecExp) )</f>
        <v>0</v>
      </c>
      <c r="AF21" s="175" cm="1">
        <f t="array" ref="AF21">SUMPRODUCT( (CapexCategory=$C21)*(AF$3&gt;=CapexMonth) * (AF$3&lt;=DeprecStop)* ((AF$3-CapexMonth+1)*-DeprecExp) )</f>
        <v>0</v>
      </c>
      <c r="AG21" s="175" cm="1">
        <f t="array" ref="AG21">SUMPRODUCT( (CapexCategory=$C21)*(AG$3&gt;=CapexMonth) * (AG$3&lt;=DeprecStop)* ((AG$3-CapexMonth+1)*-DeprecExp) )</f>
        <v>0</v>
      </c>
      <c r="AH21" s="176" cm="1">
        <f t="array" ref="AH21">SUMPRODUCT( (CapexCategory=$C21)*(AH$3&gt;=CapexMonth) * (AH$3&lt;=DeprecStop)* ((AH$3-CapexMonth+1)*-DeprecExp) )</f>
        <v>0</v>
      </c>
      <c r="AI21" s="175" cm="1">
        <f t="array" ref="AI21">SUMPRODUCT( (CapexCategory=$C21)*(AI$3&gt;=CapexMonth) * (AI$3&lt;=DeprecStop)* ((AI$3-CapexMonth+1)*-DeprecExp) )</f>
        <v>0</v>
      </c>
      <c r="AJ21" s="175" cm="1">
        <f t="array" ref="AJ21">SUMPRODUCT( (CapexCategory=$C21)*(AJ$3&gt;=CapexMonth) * (AJ$3&lt;=DeprecStop)* ((AJ$3-CapexMonth+1)*-DeprecExp) )</f>
        <v>0</v>
      </c>
      <c r="AK21" s="175" cm="1">
        <f t="array" ref="AK21">SUMPRODUCT( (CapexCategory=$C21)*(AK$3&gt;=CapexMonth) * (AK$3&lt;=DeprecStop)* ((AK$3-CapexMonth+1)*-DeprecExp) )</f>
        <v>0</v>
      </c>
      <c r="AL21" s="175" cm="1">
        <f t="array" ref="AL21">SUMPRODUCT( (CapexCategory=$C21)*(AL$3&gt;=CapexMonth) * (AL$3&lt;=DeprecStop)* ((AL$3-CapexMonth+1)*-DeprecExp) )</f>
        <v>0</v>
      </c>
      <c r="AM21" s="175" cm="1">
        <f t="array" ref="AM21">SUMPRODUCT( (CapexCategory=$C21)*(AM$3&gt;=CapexMonth) * (AM$3&lt;=DeprecStop)* ((AM$3-CapexMonth+1)*-DeprecExp) )</f>
        <v>0</v>
      </c>
      <c r="AN21" s="175" cm="1">
        <f t="array" ref="AN21">SUMPRODUCT( (CapexCategory=$C21)*(AN$3&gt;=CapexMonth) * (AN$3&lt;=DeprecStop)* ((AN$3-CapexMonth+1)*-DeprecExp) )</f>
        <v>0</v>
      </c>
      <c r="AO21" s="175" cm="1">
        <f t="array" ref="AO21">SUMPRODUCT( (CapexCategory=$C21)*(AO$3&gt;=CapexMonth) * (AO$3&lt;=DeprecStop)* ((AO$3-CapexMonth+1)*-DeprecExp) )</f>
        <v>0</v>
      </c>
      <c r="AP21" s="175" cm="1">
        <f t="array" ref="AP21">SUMPRODUCT( (CapexCategory=$C21)*(AP$3&gt;=CapexMonth) * (AP$3&lt;=DeprecStop)* ((AP$3-CapexMonth+1)*-DeprecExp) )</f>
        <v>0</v>
      </c>
      <c r="AQ21" s="175" cm="1">
        <f t="array" ref="AQ21">SUMPRODUCT( (CapexCategory=$C21)*(AQ$3&gt;=CapexMonth) * (AQ$3&lt;=DeprecStop)* ((AQ$3-CapexMonth+1)*-DeprecExp) )</f>
        <v>0</v>
      </c>
      <c r="AR21" s="175" cm="1">
        <f t="array" ref="AR21">SUMPRODUCT( (CapexCategory=$C21)*(AR$3&gt;=CapexMonth) * (AR$3&lt;=DeprecStop)* ((AR$3-CapexMonth+1)*-DeprecExp) )</f>
        <v>0</v>
      </c>
      <c r="AS21" s="175" cm="1">
        <f t="array" ref="AS21">SUMPRODUCT( (CapexCategory=$C21)*(AS$3&gt;=CapexMonth) * (AS$3&lt;=DeprecStop)* ((AS$3-CapexMonth+1)*-DeprecExp) )</f>
        <v>0</v>
      </c>
      <c r="AT21" s="176" cm="1">
        <f t="array" ref="AT21">SUMPRODUCT( (CapexCategory=$C21)*(AT$3&gt;=CapexMonth) * (AT$3&lt;=DeprecStop)* ((AT$3-CapexMonth+1)*-DeprecExp) )</f>
        <v>0</v>
      </c>
      <c r="AU21" s="175" cm="1">
        <f t="array" ref="AU21">SUMPRODUCT( (CapexCategory=$C21)*(AU$3&gt;=CapexMonth) * (AU$3&lt;=DeprecStop)* ((AU$3-CapexMonth+1)*-DeprecExp) )</f>
        <v>0</v>
      </c>
      <c r="AV21" s="175" cm="1">
        <f t="array" ref="AV21">SUMPRODUCT( (CapexCategory=$C21)*(AV$3&gt;=CapexMonth) * (AV$3&lt;=DeprecStop)* ((AV$3-CapexMonth+1)*-DeprecExp) )</f>
        <v>0</v>
      </c>
      <c r="AW21" s="175" cm="1">
        <f t="array" ref="AW21">SUMPRODUCT( (CapexCategory=$C21)*(AW$3&gt;=CapexMonth) * (AW$3&lt;=DeprecStop)* ((AW$3-CapexMonth+1)*-DeprecExp) )</f>
        <v>0</v>
      </c>
      <c r="AX21" s="175" cm="1">
        <f t="array" ref="AX21">SUMPRODUCT( (CapexCategory=$C21)*(AX$3&gt;=CapexMonth) * (AX$3&lt;=DeprecStop)* ((AX$3-CapexMonth+1)*-DeprecExp) )</f>
        <v>0</v>
      </c>
      <c r="AY21" s="175" cm="1">
        <f t="array" ref="AY21">SUMPRODUCT( (CapexCategory=$C21)*(AY$3&gt;=CapexMonth) * (AY$3&lt;=DeprecStop)* ((AY$3-CapexMonth+1)*-DeprecExp) )</f>
        <v>0</v>
      </c>
      <c r="AZ21" s="175" cm="1">
        <f t="array" ref="AZ21">SUMPRODUCT( (CapexCategory=$C21)*(AZ$3&gt;=CapexMonth) * (AZ$3&lt;=DeprecStop)* ((AZ$3-CapexMonth+1)*-DeprecExp) )</f>
        <v>0</v>
      </c>
      <c r="BA21" s="175" cm="1">
        <f t="array" ref="BA21">SUMPRODUCT( (CapexCategory=$C21)*(BA$3&gt;=CapexMonth) * (BA$3&lt;=DeprecStop)* ((BA$3-CapexMonth+1)*-DeprecExp) )</f>
        <v>0</v>
      </c>
      <c r="BB21" s="175" cm="1">
        <f t="array" ref="BB21">SUMPRODUCT( (CapexCategory=$C21)*(BB$3&gt;=CapexMonth) * (BB$3&lt;=DeprecStop)* ((BB$3-CapexMonth+1)*-DeprecExp) )</f>
        <v>0</v>
      </c>
      <c r="BC21" s="175" cm="1">
        <f t="array" ref="BC21">SUMPRODUCT( (CapexCategory=$C21)*(BC$3&gt;=CapexMonth) * (BC$3&lt;=DeprecStop)* ((BC$3-CapexMonth+1)*-DeprecExp) )</f>
        <v>0</v>
      </c>
      <c r="BD21" s="175" cm="1">
        <f t="array" ref="BD21">SUMPRODUCT( (CapexCategory=$C21)*(BD$3&gt;=CapexMonth) * (BD$3&lt;=DeprecStop)* ((BD$3-CapexMonth+1)*-DeprecExp) )</f>
        <v>0</v>
      </c>
      <c r="BE21" s="175" cm="1">
        <f t="array" ref="BE21">SUMPRODUCT( (CapexCategory=$C21)*(BE$3&gt;=CapexMonth) * (BE$3&lt;=DeprecStop)* ((BE$3-CapexMonth+1)*-DeprecExp) )</f>
        <v>0</v>
      </c>
      <c r="BF21" s="176" cm="1">
        <f t="array" ref="BF21">SUMPRODUCT( (CapexCategory=$C21)*(BF$3&gt;=CapexMonth) * (BF$3&lt;=DeprecStop)* ((BF$3-CapexMonth+1)*-DeprecExp) )</f>
        <v>0</v>
      </c>
      <c r="BG21" s="175" cm="1">
        <f t="array" ref="BG21">SUMPRODUCT( (CapexCategory=$C21)*(BG$3&gt;=CapexMonth) * (BG$3&lt;=DeprecStop)* ((BG$3-CapexMonth+1)*-DeprecExp) )</f>
        <v>0</v>
      </c>
      <c r="BH21" s="175" cm="1">
        <f t="array" ref="BH21">SUMPRODUCT( (CapexCategory=$C21)*(BH$3&gt;=CapexMonth) * (BH$3&lt;=DeprecStop)* ((BH$3-CapexMonth+1)*-DeprecExp) )</f>
        <v>0</v>
      </c>
      <c r="BI21" s="175" cm="1">
        <f t="array" ref="BI21">SUMPRODUCT( (CapexCategory=$C21)*(BI$3&gt;=CapexMonth) * (BI$3&lt;=DeprecStop)* ((BI$3-CapexMonth+1)*-DeprecExp) )</f>
        <v>0</v>
      </c>
      <c r="BJ21" s="175" cm="1">
        <f t="array" ref="BJ21">SUMPRODUCT( (CapexCategory=$C21)*(BJ$3&gt;=CapexMonth) * (BJ$3&lt;=DeprecStop)* ((BJ$3-CapexMonth+1)*-DeprecExp) )</f>
        <v>0</v>
      </c>
      <c r="BK21" s="175" cm="1">
        <f t="array" ref="BK21">SUMPRODUCT( (CapexCategory=$C21)*(BK$3&gt;=CapexMonth) * (BK$3&lt;=DeprecStop)* ((BK$3-CapexMonth+1)*-DeprecExp) )</f>
        <v>0</v>
      </c>
      <c r="BL21" s="175" cm="1">
        <f t="array" ref="BL21">SUMPRODUCT( (CapexCategory=$C21)*(BL$3&gt;=CapexMonth) * (BL$3&lt;=DeprecStop)* ((BL$3-CapexMonth+1)*-DeprecExp) )</f>
        <v>0</v>
      </c>
      <c r="BM21" s="175" cm="1">
        <f t="array" ref="BM21">SUMPRODUCT( (CapexCategory=$C21)*(BM$3&gt;=CapexMonth) * (BM$3&lt;=DeprecStop)* ((BM$3-CapexMonth+1)*-DeprecExp) )</f>
        <v>0</v>
      </c>
      <c r="BN21" s="175" cm="1">
        <f t="array" ref="BN21">SUMPRODUCT( (CapexCategory=$C21)*(BN$3&gt;=CapexMonth) * (BN$3&lt;=DeprecStop)* ((BN$3-CapexMonth+1)*-DeprecExp) )</f>
        <v>0</v>
      </c>
      <c r="BO21" s="175" cm="1">
        <f t="array" ref="BO21">SUMPRODUCT( (CapexCategory=$C21)*(BO$3&gt;=CapexMonth) * (BO$3&lt;=DeprecStop)* ((BO$3-CapexMonth+1)*-DeprecExp) )</f>
        <v>0</v>
      </c>
      <c r="BP21" s="175" cm="1">
        <f t="array" ref="BP21">SUMPRODUCT( (CapexCategory=$C21)*(BP$3&gt;=CapexMonth) * (BP$3&lt;=DeprecStop)* ((BP$3-CapexMonth+1)*-DeprecExp) )</f>
        <v>0</v>
      </c>
      <c r="BQ21" s="175" cm="1">
        <f t="array" ref="BQ21">SUMPRODUCT( (CapexCategory=$C21)*(BQ$3&gt;=CapexMonth) * (BQ$3&lt;=DeprecStop)* ((BQ$3-CapexMonth+1)*-DeprecExp) )</f>
        <v>0</v>
      </c>
      <c r="BR21" s="176" cm="1">
        <f t="array" ref="BR21">SUMPRODUCT( (CapexCategory=$C21)*(BR$3&gt;=CapexMonth) * (BR$3&lt;=DeprecStop)* ((BR$3-CapexMonth+1)*-DeprecExp) )</f>
        <v>0</v>
      </c>
    </row>
    <row r="22" spans="1:70" ht="13.2" x14ac:dyDescent="0.3">
      <c r="C22" s="61" t="s">
        <v>94</v>
      </c>
      <c r="D22" s="14"/>
      <c r="E22" s="176">
        <f t="shared" si="17"/>
        <v>0</v>
      </c>
      <c r="F22" s="176">
        <f t="shared" si="18"/>
        <v>0</v>
      </c>
      <c r="G22" s="176">
        <f t="shared" si="19"/>
        <v>0</v>
      </c>
      <c r="H22" s="176">
        <f t="shared" si="20"/>
        <v>0</v>
      </c>
      <c r="I22" s="176">
        <f t="shared" si="21"/>
        <v>0</v>
      </c>
      <c r="J22" s="129"/>
      <c r="K22" s="175" cm="1">
        <f t="array" ref="K22">SUMPRODUCT( (CapexCategory=$C22)*(K$3&gt;=CapexMonth) * (K$3&lt;=DeprecStop)* ((K$3-CapexMonth+1)*-DeprecExp) )</f>
        <v>-0.4</v>
      </c>
      <c r="L22" s="175" cm="1">
        <f t="array" ref="L22">SUMPRODUCT( (CapexCategory=$C22)*(L$3&gt;=CapexMonth) * (L$3&lt;=DeprecStop)* ((L$3-CapexMonth+1)*-DeprecExp) )</f>
        <v>-0.8</v>
      </c>
      <c r="M22" s="175" cm="1">
        <f t="array" ref="M22">SUMPRODUCT( (CapexCategory=$C22)*(M$3&gt;=CapexMonth) * (M$3&lt;=DeprecStop)* ((M$3-CapexMonth+1)*-DeprecExp) )</f>
        <v>-1.2000000000000002</v>
      </c>
      <c r="N22" s="175" cm="1">
        <f t="array" ref="N22">SUMPRODUCT( (CapexCategory=$C22)*(N$3&gt;=CapexMonth) * (N$3&lt;=DeprecStop)* ((N$3-CapexMonth+1)*-DeprecExp) )</f>
        <v>-1.6</v>
      </c>
      <c r="O22" s="175" cm="1">
        <f t="array" ref="O22">SUMPRODUCT( (CapexCategory=$C22)*(O$3&gt;=CapexMonth) * (O$3&lt;=DeprecStop)* ((O$3-CapexMonth+1)*-DeprecExp) )</f>
        <v>-2</v>
      </c>
      <c r="P22" s="175" cm="1">
        <f t="array" ref="P22">SUMPRODUCT( (CapexCategory=$C22)*(P$3&gt;=CapexMonth) * (P$3&lt;=DeprecStop)* ((P$3-CapexMonth+1)*-DeprecExp) )</f>
        <v>-2.4000000000000004</v>
      </c>
      <c r="Q22" s="175" cm="1">
        <f t="array" ref="Q22">SUMPRODUCT( (CapexCategory=$C22)*(Q$3&gt;=CapexMonth) * (Q$3&lt;=DeprecStop)* ((Q$3-CapexMonth+1)*-DeprecExp) )</f>
        <v>-2.8000000000000003</v>
      </c>
      <c r="R22" s="175" cm="1">
        <f t="array" ref="R22">SUMPRODUCT( (CapexCategory=$C22)*(R$3&gt;=CapexMonth) * (R$3&lt;=DeprecStop)* ((R$3-CapexMonth+1)*-DeprecExp) )</f>
        <v>-3.2</v>
      </c>
      <c r="S22" s="175" cm="1">
        <f t="array" ref="S22">SUMPRODUCT( (CapexCategory=$C22)*(S$3&gt;=CapexMonth) * (S$3&lt;=DeprecStop)* ((S$3-CapexMonth+1)*-DeprecExp) )</f>
        <v>-3.6</v>
      </c>
      <c r="T22" s="175" cm="1">
        <f t="array" ref="T22">SUMPRODUCT( (CapexCategory=$C22)*(T$3&gt;=CapexMonth) * (T$3&lt;=DeprecStop)* ((T$3-CapexMonth+1)*-DeprecExp) )</f>
        <v>-4</v>
      </c>
      <c r="U22" s="175" cm="1">
        <f t="array" ref="U22">SUMPRODUCT( (CapexCategory=$C22)*(U$3&gt;=CapexMonth) * (U$3&lt;=DeprecStop)* ((U$3-CapexMonth+1)*-DeprecExp) )</f>
        <v>0</v>
      </c>
      <c r="V22" s="176" cm="1">
        <f t="array" ref="V22">SUMPRODUCT( (CapexCategory=$C22)*(V$3&gt;=CapexMonth) * (V$3&lt;=DeprecStop)* ((V$3-CapexMonth+1)*-DeprecExp) )</f>
        <v>0</v>
      </c>
      <c r="W22" s="175" cm="1">
        <f t="array" ref="W22">SUMPRODUCT( (CapexCategory=$C22)*(W$3&gt;=CapexMonth) * (W$3&lt;=DeprecStop)* ((W$3-CapexMonth+1)*-DeprecExp) )</f>
        <v>0</v>
      </c>
      <c r="X22" s="175" cm="1">
        <f t="array" ref="X22">SUMPRODUCT( (CapexCategory=$C22)*(X$3&gt;=CapexMonth) * (X$3&lt;=DeprecStop)* ((X$3-CapexMonth+1)*-DeprecExp) )</f>
        <v>0</v>
      </c>
      <c r="Y22" s="175" cm="1">
        <f t="array" ref="Y22">SUMPRODUCT( (CapexCategory=$C22)*(Y$3&gt;=CapexMonth) * (Y$3&lt;=DeprecStop)* ((Y$3-CapexMonth+1)*-DeprecExp) )</f>
        <v>0</v>
      </c>
      <c r="Z22" s="175" cm="1">
        <f t="array" ref="Z22">SUMPRODUCT( (CapexCategory=$C22)*(Z$3&gt;=CapexMonth) * (Z$3&lt;=DeprecStop)* ((Z$3-CapexMonth+1)*-DeprecExp) )</f>
        <v>0</v>
      </c>
      <c r="AA22" s="175" cm="1">
        <f t="array" ref="AA22">SUMPRODUCT( (CapexCategory=$C22)*(AA$3&gt;=CapexMonth) * (AA$3&lt;=DeprecStop)* ((AA$3-CapexMonth+1)*-DeprecExp) )</f>
        <v>0</v>
      </c>
      <c r="AB22" s="175" cm="1">
        <f t="array" ref="AB22">SUMPRODUCT( (CapexCategory=$C22)*(AB$3&gt;=CapexMonth) * (AB$3&lt;=DeprecStop)* ((AB$3-CapexMonth+1)*-DeprecExp) )</f>
        <v>0</v>
      </c>
      <c r="AC22" s="175" cm="1">
        <f t="array" ref="AC22">SUMPRODUCT( (CapexCategory=$C22)*(AC$3&gt;=CapexMonth) * (AC$3&lt;=DeprecStop)* ((AC$3-CapexMonth+1)*-DeprecExp) )</f>
        <v>0</v>
      </c>
      <c r="AD22" s="175" cm="1">
        <f t="array" ref="AD22">SUMPRODUCT( (CapexCategory=$C22)*(AD$3&gt;=CapexMonth) * (AD$3&lt;=DeprecStop)* ((AD$3-CapexMonth+1)*-DeprecExp) )</f>
        <v>0</v>
      </c>
      <c r="AE22" s="175" cm="1">
        <f t="array" ref="AE22">SUMPRODUCT( (CapexCategory=$C22)*(AE$3&gt;=CapexMonth) * (AE$3&lt;=DeprecStop)* ((AE$3-CapexMonth+1)*-DeprecExp) )</f>
        <v>0</v>
      </c>
      <c r="AF22" s="175" cm="1">
        <f t="array" ref="AF22">SUMPRODUCT( (CapexCategory=$C22)*(AF$3&gt;=CapexMonth) * (AF$3&lt;=DeprecStop)* ((AF$3-CapexMonth+1)*-DeprecExp) )</f>
        <v>0</v>
      </c>
      <c r="AG22" s="175" cm="1">
        <f t="array" ref="AG22">SUMPRODUCT( (CapexCategory=$C22)*(AG$3&gt;=CapexMonth) * (AG$3&lt;=DeprecStop)* ((AG$3-CapexMonth+1)*-DeprecExp) )</f>
        <v>0</v>
      </c>
      <c r="AH22" s="176" cm="1">
        <f t="array" ref="AH22">SUMPRODUCT( (CapexCategory=$C22)*(AH$3&gt;=CapexMonth) * (AH$3&lt;=DeprecStop)* ((AH$3-CapexMonth+1)*-DeprecExp) )</f>
        <v>0</v>
      </c>
      <c r="AI22" s="175" cm="1">
        <f t="array" ref="AI22">SUMPRODUCT( (CapexCategory=$C22)*(AI$3&gt;=CapexMonth) * (AI$3&lt;=DeprecStop)* ((AI$3-CapexMonth+1)*-DeprecExp) )</f>
        <v>0</v>
      </c>
      <c r="AJ22" s="175" cm="1">
        <f t="array" ref="AJ22">SUMPRODUCT( (CapexCategory=$C22)*(AJ$3&gt;=CapexMonth) * (AJ$3&lt;=DeprecStop)* ((AJ$3-CapexMonth+1)*-DeprecExp) )</f>
        <v>0</v>
      </c>
      <c r="AK22" s="175" cm="1">
        <f t="array" ref="AK22">SUMPRODUCT( (CapexCategory=$C22)*(AK$3&gt;=CapexMonth) * (AK$3&lt;=DeprecStop)* ((AK$3-CapexMonth+1)*-DeprecExp) )</f>
        <v>0</v>
      </c>
      <c r="AL22" s="175" cm="1">
        <f t="array" ref="AL22">SUMPRODUCT( (CapexCategory=$C22)*(AL$3&gt;=CapexMonth) * (AL$3&lt;=DeprecStop)* ((AL$3-CapexMonth+1)*-DeprecExp) )</f>
        <v>0</v>
      </c>
      <c r="AM22" s="175" cm="1">
        <f t="array" ref="AM22">SUMPRODUCT( (CapexCategory=$C22)*(AM$3&gt;=CapexMonth) * (AM$3&lt;=DeprecStop)* ((AM$3-CapexMonth+1)*-DeprecExp) )</f>
        <v>0</v>
      </c>
      <c r="AN22" s="175" cm="1">
        <f t="array" ref="AN22">SUMPRODUCT( (CapexCategory=$C22)*(AN$3&gt;=CapexMonth) * (AN$3&lt;=DeprecStop)* ((AN$3-CapexMonth+1)*-DeprecExp) )</f>
        <v>0</v>
      </c>
      <c r="AO22" s="175" cm="1">
        <f t="array" ref="AO22">SUMPRODUCT( (CapexCategory=$C22)*(AO$3&gt;=CapexMonth) * (AO$3&lt;=DeprecStop)* ((AO$3-CapexMonth+1)*-DeprecExp) )</f>
        <v>0</v>
      </c>
      <c r="AP22" s="175" cm="1">
        <f t="array" ref="AP22">SUMPRODUCT( (CapexCategory=$C22)*(AP$3&gt;=CapexMonth) * (AP$3&lt;=DeprecStop)* ((AP$3-CapexMonth+1)*-DeprecExp) )</f>
        <v>0</v>
      </c>
      <c r="AQ22" s="175" cm="1">
        <f t="array" ref="AQ22">SUMPRODUCT( (CapexCategory=$C22)*(AQ$3&gt;=CapexMonth) * (AQ$3&lt;=DeprecStop)* ((AQ$3-CapexMonth+1)*-DeprecExp) )</f>
        <v>0</v>
      </c>
      <c r="AR22" s="175" cm="1">
        <f t="array" ref="AR22">SUMPRODUCT( (CapexCategory=$C22)*(AR$3&gt;=CapexMonth) * (AR$3&lt;=DeprecStop)* ((AR$3-CapexMonth+1)*-DeprecExp) )</f>
        <v>0</v>
      </c>
      <c r="AS22" s="175" cm="1">
        <f t="array" ref="AS22">SUMPRODUCT( (CapexCategory=$C22)*(AS$3&gt;=CapexMonth) * (AS$3&lt;=DeprecStop)* ((AS$3-CapexMonth+1)*-DeprecExp) )</f>
        <v>0</v>
      </c>
      <c r="AT22" s="176" cm="1">
        <f t="array" ref="AT22">SUMPRODUCT( (CapexCategory=$C22)*(AT$3&gt;=CapexMonth) * (AT$3&lt;=DeprecStop)* ((AT$3-CapexMonth+1)*-DeprecExp) )</f>
        <v>0</v>
      </c>
      <c r="AU22" s="175" cm="1">
        <f t="array" ref="AU22">SUMPRODUCT( (CapexCategory=$C22)*(AU$3&gt;=CapexMonth) * (AU$3&lt;=DeprecStop)* ((AU$3-CapexMonth+1)*-DeprecExp) )</f>
        <v>0</v>
      </c>
      <c r="AV22" s="175" cm="1">
        <f t="array" ref="AV22">SUMPRODUCT( (CapexCategory=$C22)*(AV$3&gt;=CapexMonth) * (AV$3&lt;=DeprecStop)* ((AV$3-CapexMonth+1)*-DeprecExp) )</f>
        <v>0</v>
      </c>
      <c r="AW22" s="175" cm="1">
        <f t="array" ref="AW22">SUMPRODUCT( (CapexCategory=$C22)*(AW$3&gt;=CapexMonth) * (AW$3&lt;=DeprecStop)* ((AW$3-CapexMonth+1)*-DeprecExp) )</f>
        <v>0</v>
      </c>
      <c r="AX22" s="175" cm="1">
        <f t="array" ref="AX22">SUMPRODUCT( (CapexCategory=$C22)*(AX$3&gt;=CapexMonth) * (AX$3&lt;=DeprecStop)* ((AX$3-CapexMonth+1)*-DeprecExp) )</f>
        <v>0</v>
      </c>
      <c r="AY22" s="175" cm="1">
        <f t="array" ref="AY22">SUMPRODUCT( (CapexCategory=$C22)*(AY$3&gt;=CapexMonth) * (AY$3&lt;=DeprecStop)* ((AY$3-CapexMonth+1)*-DeprecExp) )</f>
        <v>0</v>
      </c>
      <c r="AZ22" s="175" cm="1">
        <f t="array" ref="AZ22">SUMPRODUCT( (CapexCategory=$C22)*(AZ$3&gt;=CapexMonth) * (AZ$3&lt;=DeprecStop)* ((AZ$3-CapexMonth+1)*-DeprecExp) )</f>
        <v>0</v>
      </c>
      <c r="BA22" s="175" cm="1">
        <f t="array" ref="BA22">SUMPRODUCT( (CapexCategory=$C22)*(BA$3&gt;=CapexMonth) * (BA$3&lt;=DeprecStop)* ((BA$3-CapexMonth+1)*-DeprecExp) )</f>
        <v>0</v>
      </c>
      <c r="BB22" s="175" cm="1">
        <f t="array" ref="BB22">SUMPRODUCT( (CapexCategory=$C22)*(BB$3&gt;=CapexMonth) * (BB$3&lt;=DeprecStop)* ((BB$3-CapexMonth+1)*-DeprecExp) )</f>
        <v>0</v>
      </c>
      <c r="BC22" s="175" cm="1">
        <f t="array" ref="BC22">SUMPRODUCT( (CapexCategory=$C22)*(BC$3&gt;=CapexMonth) * (BC$3&lt;=DeprecStop)* ((BC$3-CapexMonth+1)*-DeprecExp) )</f>
        <v>0</v>
      </c>
      <c r="BD22" s="175" cm="1">
        <f t="array" ref="BD22">SUMPRODUCT( (CapexCategory=$C22)*(BD$3&gt;=CapexMonth) * (BD$3&lt;=DeprecStop)* ((BD$3-CapexMonth+1)*-DeprecExp) )</f>
        <v>0</v>
      </c>
      <c r="BE22" s="175" cm="1">
        <f t="array" ref="BE22">SUMPRODUCT( (CapexCategory=$C22)*(BE$3&gt;=CapexMonth) * (BE$3&lt;=DeprecStop)* ((BE$3-CapexMonth+1)*-DeprecExp) )</f>
        <v>0</v>
      </c>
      <c r="BF22" s="176" cm="1">
        <f t="array" ref="BF22">SUMPRODUCT( (CapexCategory=$C22)*(BF$3&gt;=CapexMonth) * (BF$3&lt;=DeprecStop)* ((BF$3-CapexMonth+1)*-DeprecExp) )</f>
        <v>0</v>
      </c>
      <c r="BG22" s="175" cm="1">
        <f t="array" ref="BG22">SUMPRODUCT( (CapexCategory=$C22)*(BG$3&gt;=CapexMonth) * (BG$3&lt;=DeprecStop)* ((BG$3-CapexMonth+1)*-DeprecExp) )</f>
        <v>0</v>
      </c>
      <c r="BH22" s="175" cm="1">
        <f t="array" ref="BH22">SUMPRODUCT( (CapexCategory=$C22)*(BH$3&gt;=CapexMonth) * (BH$3&lt;=DeprecStop)* ((BH$3-CapexMonth+1)*-DeprecExp) )</f>
        <v>0</v>
      </c>
      <c r="BI22" s="175" cm="1">
        <f t="array" ref="BI22">SUMPRODUCT( (CapexCategory=$C22)*(BI$3&gt;=CapexMonth) * (BI$3&lt;=DeprecStop)* ((BI$3-CapexMonth+1)*-DeprecExp) )</f>
        <v>0</v>
      </c>
      <c r="BJ22" s="175" cm="1">
        <f t="array" ref="BJ22">SUMPRODUCT( (CapexCategory=$C22)*(BJ$3&gt;=CapexMonth) * (BJ$3&lt;=DeprecStop)* ((BJ$3-CapexMonth+1)*-DeprecExp) )</f>
        <v>0</v>
      </c>
      <c r="BK22" s="175" cm="1">
        <f t="array" ref="BK22">SUMPRODUCT( (CapexCategory=$C22)*(BK$3&gt;=CapexMonth) * (BK$3&lt;=DeprecStop)* ((BK$3-CapexMonth+1)*-DeprecExp) )</f>
        <v>0</v>
      </c>
      <c r="BL22" s="175" cm="1">
        <f t="array" ref="BL22">SUMPRODUCT( (CapexCategory=$C22)*(BL$3&gt;=CapexMonth) * (BL$3&lt;=DeprecStop)* ((BL$3-CapexMonth+1)*-DeprecExp) )</f>
        <v>0</v>
      </c>
      <c r="BM22" s="175" cm="1">
        <f t="array" ref="BM22">SUMPRODUCT( (CapexCategory=$C22)*(BM$3&gt;=CapexMonth) * (BM$3&lt;=DeprecStop)* ((BM$3-CapexMonth+1)*-DeprecExp) )</f>
        <v>0</v>
      </c>
      <c r="BN22" s="175" cm="1">
        <f t="array" ref="BN22">SUMPRODUCT( (CapexCategory=$C22)*(BN$3&gt;=CapexMonth) * (BN$3&lt;=DeprecStop)* ((BN$3-CapexMonth+1)*-DeprecExp) )</f>
        <v>0</v>
      </c>
      <c r="BO22" s="175" cm="1">
        <f t="array" ref="BO22">SUMPRODUCT( (CapexCategory=$C22)*(BO$3&gt;=CapexMonth) * (BO$3&lt;=DeprecStop)* ((BO$3-CapexMonth+1)*-DeprecExp) )</f>
        <v>0</v>
      </c>
      <c r="BP22" s="175" cm="1">
        <f t="array" ref="BP22">SUMPRODUCT( (CapexCategory=$C22)*(BP$3&gt;=CapexMonth) * (BP$3&lt;=DeprecStop)* ((BP$3-CapexMonth+1)*-DeprecExp) )</f>
        <v>0</v>
      </c>
      <c r="BQ22" s="175" cm="1">
        <f t="array" ref="BQ22">SUMPRODUCT( (CapexCategory=$C22)*(BQ$3&gt;=CapexMonth) * (BQ$3&lt;=DeprecStop)* ((BQ$3-CapexMonth+1)*-DeprecExp) )</f>
        <v>0</v>
      </c>
      <c r="BR22" s="176" cm="1">
        <f t="array" ref="BR22">SUMPRODUCT( (CapexCategory=$C22)*(BR$3&gt;=CapexMonth) * (BR$3&lt;=DeprecStop)* ((BR$3-CapexMonth+1)*-DeprecExp) )</f>
        <v>0</v>
      </c>
    </row>
    <row r="23" spans="1:70" ht="13.2" x14ac:dyDescent="0.3">
      <c r="C23" s="61" t="s">
        <v>95</v>
      </c>
      <c r="D23" s="14"/>
      <c r="E23" s="176">
        <f t="shared" si="17"/>
        <v>0</v>
      </c>
      <c r="F23" s="176">
        <f t="shared" si="18"/>
        <v>0</v>
      </c>
      <c r="G23" s="176">
        <f t="shared" si="19"/>
        <v>0</v>
      </c>
      <c r="H23" s="176">
        <f t="shared" si="20"/>
        <v>0</v>
      </c>
      <c r="I23" s="176">
        <f t="shared" si="21"/>
        <v>0</v>
      </c>
      <c r="J23" s="129"/>
      <c r="K23" s="175" cm="1">
        <f t="array" ref="K23">SUMPRODUCT( (CapexCategory=$C23)*(K$3&gt;=CapexMonth) * (K$3&lt;=DeprecStop)* ((K$3-CapexMonth+1)*-DeprecExp) )</f>
        <v>0</v>
      </c>
      <c r="L23" s="175" cm="1">
        <f t="array" ref="L23">SUMPRODUCT( (CapexCategory=$C23)*(L$3&gt;=CapexMonth) * (L$3&lt;=DeprecStop)* ((L$3-CapexMonth+1)*-DeprecExp) )</f>
        <v>0</v>
      </c>
      <c r="M23" s="175" cm="1">
        <f t="array" ref="M23">SUMPRODUCT( (CapexCategory=$C23)*(M$3&gt;=CapexMonth) * (M$3&lt;=DeprecStop)* ((M$3-CapexMonth+1)*-DeprecExp) )</f>
        <v>0</v>
      </c>
      <c r="N23" s="175" cm="1">
        <f t="array" ref="N23">SUMPRODUCT( (CapexCategory=$C23)*(N$3&gt;=CapexMonth) * (N$3&lt;=DeprecStop)* ((N$3-CapexMonth+1)*-DeprecExp) )</f>
        <v>0</v>
      </c>
      <c r="O23" s="175" cm="1">
        <f t="array" ref="O23">SUMPRODUCT( (CapexCategory=$C23)*(O$3&gt;=CapexMonth) * (O$3&lt;=DeprecStop)* ((O$3-CapexMonth+1)*-DeprecExp) )</f>
        <v>0</v>
      </c>
      <c r="P23" s="175" cm="1">
        <f t="array" ref="P23">SUMPRODUCT( (CapexCategory=$C23)*(P$3&gt;=CapexMonth) * (P$3&lt;=DeprecStop)* ((P$3-CapexMonth+1)*-DeprecExp) )</f>
        <v>0</v>
      </c>
      <c r="Q23" s="175" cm="1">
        <f t="array" ref="Q23">SUMPRODUCT( (CapexCategory=$C23)*(Q$3&gt;=CapexMonth) * (Q$3&lt;=DeprecStop)* ((Q$3-CapexMonth+1)*-DeprecExp) )</f>
        <v>0</v>
      </c>
      <c r="R23" s="175" cm="1">
        <f t="array" ref="R23">SUMPRODUCT( (CapexCategory=$C23)*(R$3&gt;=CapexMonth) * (R$3&lt;=DeprecStop)* ((R$3-CapexMonth+1)*-DeprecExp) )</f>
        <v>0</v>
      </c>
      <c r="S23" s="175" cm="1">
        <f t="array" ref="S23">SUMPRODUCT( (CapexCategory=$C23)*(S$3&gt;=CapexMonth) * (S$3&lt;=DeprecStop)* ((S$3-CapexMonth+1)*-DeprecExp) )</f>
        <v>0</v>
      </c>
      <c r="T23" s="175" cm="1">
        <f t="array" ref="T23">SUMPRODUCT( (CapexCategory=$C23)*(T$3&gt;=CapexMonth) * (T$3&lt;=DeprecStop)* ((T$3-CapexMonth+1)*-DeprecExp) )</f>
        <v>0</v>
      </c>
      <c r="U23" s="175" cm="1">
        <f t="array" ref="U23">SUMPRODUCT( (CapexCategory=$C23)*(U$3&gt;=CapexMonth) * (U$3&lt;=DeprecStop)* ((U$3-CapexMonth+1)*-DeprecExp) )</f>
        <v>0</v>
      </c>
      <c r="V23" s="176" cm="1">
        <f t="array" ref="V23">SUMPRODUCT( (CapexCategory=$C23)*(V$3&gt;=CapexMonth) * (V$3&lt;=DeprecStop)* ((V$3-CapexMonth+1)*-DeprecExp) )</f>
        <v>0</v>
      </c>
      <c r="W23" s="175" cm="1">
        <f t="array" ref="W23">SUMPRODUCT( (CapexCategory=$C23)*(W$3&gt;=CapexMonth) * (W$3&lt;=DeprecStop)* ((W$3-CapexMonth+1)*-DeprecExp) )</f>
        <v>0</v>
      </c>
      <c r="X23" s="175" cm="1">
        <f t="array" ref="X23">SUMPRODUCT( (CapexCategory=$C23)*(X$3&gt;=CapexMonth) * (X$3&lt;=DeprecStop)* ((X$3-CapexMonth+1)*-DeprecExp) )</f>
        <v>0</v>
      </c>
      <c r="Y23" s="175" cm="1">
        <f t="array" ref="Y23">SUMPRODUCT( (CapexCategory=$C23)*(Y$3&gt;=CapexMonth) * (Y$3&lt;=DeprecStop)* ((Y$3-CapexMonth+1)*-DeprecExp) )</f>
        <v>0</v>
      </c>
      <c r="Z23" s="175" cm="1">
        <f t="array" ref="Z23">SUMPRODUCT( (CapexCategory=$C23)*(Z$3&gt;=CapexMonth) * (Z$3&lt;=DeprecStop)* ((Z$3-CapexMonth+1)*-DeprecExp) )</f>
        <v>0</v>
      </c>
      <c r="AA23" s="175" cm="1">
        <f t="array" ref="AA23">SUMPRODUCT( (CapexCategory=$C23)*(AA$3&gt;=CapexMonth) * (AA$3&lt;=DeprecStop)* ((AA$3-CapexMonth+1)*-DeprecExp) )</f>
        <v>0</v>
      </c>
      <c r="AB23" s="175" cm="1">
        <f t="array" ref="AB23">SUMPRODUCT( (CapexCategory=$C23)*(AB$3&gt;=CapexMonth) * (AB$3&lt;=DeprecStop)* ((AB$3-CapexMonth+1)*-DeprecExp) )</f>
        <v>0</v>
      </c>
      <c r="AC23" s="175" cm="1">
        <f t="array" ref="AC23">SUMPRODUCT( (CapexCategory=$C23)*(AC$3&gt;=CapexMonth) * (AC$3&lt;=DeprecStop)* ((AC$3-CapexMonth+1)*-DeprecExp) )</f>
        <v>0</v>
      </c>
      <c r="AD23" s="175" cm="1">
        <f t="array" ref="AD23">SUMPRODUCT( (CapexCategory=$C23)*(AD$3&gt;=CapexMonth) * (AD$3&lt;=DeprecStop)* ((AD$3-CapexMonth+1)*-DeprecExp) )</f>
        <v>0</v>
      </c>
      <c r="AE23" s="175" cm="1">
        <f t="array" ref="AE23">SUMPRODUCT( (CapexCategory=$C23)*(AE$3&gt;=CapexMonth) * (AE$3&lt;=DeprecStop)* ((AE$3-CapexMonth+1)*-DeprecExp) )</f>
        <v>0</v>
      </c>
      <c r="AF23" s="175" cm="1">
        <f t="array" ref="AF23">SUMPRODUCT( (CapexCategory=$C23)*(AF$3&gt;=CapexMonth) * (AF$3&lt;=DeprecStop)* ((AF$3-CapexMonth+1)*-DeprecExp) )</f>
        <v>0</v>
      </c>
      <c r="AG23" s="175" cm="1">
        <f t="array" ref="AG23">SUMPRODUCT( (CapexCategory=$C23)*(AG$3&gt;=CapexMonth) * (AG$3&lt;=DeprecStop)* ((AG$3-CapexMonth+1)*-DeprecExp) )</f>
        <v>0</v>
      </c>
      <c r="AH23" s="176" cm="1">
        <f t="array" ref="AH23">SUMPRODUCT( (CapexCategory=$C23)*(AH$3&gt;=CapexMonth) * (AH$3&lt;=DeprecStop)* ((AH$3-CapexMonth+1)*-DeprecExp) )</f>
        <v>0</v>
      </c>
      <c r="AI23" s="175" cm="1">
        <f t="array" ref="AI23">SUMPRODUCT( (CapexCategory=$C23)*(AI$3&gt;=CapexMonth) * (AI$3&lt;=DeprecStop)* ((AI$3-CapexMonth+1)*-DeprecExp) )</f>
        <v>0</v>
      </c>
      <c r="AJ23" s="175" cm="1">
        <f t="array" ref="AJ23">SUMPRODUCT( (CapexCategory=$C23)*(AJ$3&gt;=CapexMonth) * (AJ$3&lt;=DeprecStop)* ((AJ$3-CapexMonth+1)*-DeprecExp) )</f>
        <v>0</v>
      </c>
      <c r="AK23" s="175" cm="1">
        <f t="array" ref="AK23">SUMPRODUCT( (CapexCategory=$C23)*(AK$3&gt;=CapexMonth) * (AK$3&lt;=DeprecStop)* ((AK$3-CapexMonth+1)*-DeprecExp) )</f>
        <v>0</v>
      </c>
      <c r="AL23" s="175" cm="1">
        <f t="array" ref="AL23">SUMPRODUCT( (CapexCategory=$C23)*(AL$3&gt;=CapexMonth) * (AL$3&lt;=DeprecStop)* ((AL$3-CapexMonth+1)*-DeprecExp) )</f>
        <v>0</v>
      </c>
      <c r="AM23" s="175" cm="1">
        <f t="array" ref="AM23">SUMPRODUCT( (CapexCategory=$C23)*(AM$3&gt;=CapexMonth) * (AM$3&lt;=DeprecStop)* ((AM$3-CapexMonth+1)*-DeprecExp) )</f>
        <v>0</v>
      </c>
      <c r="AN23" s="175" cm="1">
        <f t="array" ref="AN23">SUMPRODUCT( (CapexCategory=$C23)*(AN$3&gt;=CapexMonth) * (AN$3&lt;=DeprecStop)* ((AN$3-CapexMonth+1)*-DeprecExp) )</f>
        <v>0</v>
      </c>
      <c r="AO23" s="175" cm="1">
        <f t="array" ref="AO23">SUMPRODUCT( (CapexCategory=$C23)*(AO$3&gt;=CapexMonth) * (AO$3&lt;=DeprecStop)* ((AO$3-CapexMonth+1)*-DeprecExp) )</f>
        <v>0</v>
      </c>
      <c r="AP23" s="175" cm="1">
        <f t="array" ref="AP23">SUMPRODUCT( (CapexCategory=$C23)*(AP$3&gt;=CapexMonth) * (AP$3&lt;=DeprecStop)* ((AP$3-CapexMonth+1)*-DeprecExp) )</f>
        <v>0</v>
      </c>
      <c r="AQ23" s="175" cm="1">
        <f t="array" ref="AQ23">SUMPRODUCT( (CapexCategory=$C23)*(AQ$3&gt;=CapexMonth) * (AQ$3&lt;=DeprecStop)* ((AQ$3-CapexMonth+1)*-DeprecExp) )</f>
        <v>0</v>
      </c>
      <c r="AR23" s="175" cm="1">
        <f t="array" ref="AR23">SUMPRODUCT( (CapexCategory=$C23)*(AR$3&gt;=CapexMonth) * (AR$3&lt;=DeprecStop)* ((AR$3-CapexMonth+1)*-DeprecExp) )</f>
        <v>0</v>
      </c>
      <c r="AS23" s="175" cm="1">
        <f t="array" ref="AS23">SUMPRODUCT( (CapexCategory=$C23)*(AS$3&gt;=CapexMonth) * (AS$3&lt;=DeprecStop)* ((AS$3-CapexMonth+1)*-DeprecExp) )</f>
        <v>0</v>
      </c>
      <c r="AT23" s="176" cm="1">
        <f t="array" ref="AT23">SUMPRODUCT( (CapexCategory=$C23)*(AT$3&gt;=CapexMonth) * (AT$3&lt;=DeprecStop)* ((AT$3-CapexMonth+1)*-DeprecExp) )</f>
        <v>0</v>
      </c>
      <c r="AU23" s="175" cm="1">
        <f t="array" ref="AU23">SUMPRODUCT( (CapexCategory=$C23)*(AU$3&gt;=CapexMonth) * (AU$3&lt;=DeprecStop)* ((AU$3-CapexMonth+1)*-DeprecExp) )</f>
        <v>0</v>
      </c>
      <c r="AV23" s="175" cm="1">
        <f t="array" ref="AV23">SUMPRODUCT( (CapexCategory=$C23)*(AV$3&gt;=CapexMonth) * (AV$3&lt;=DeprecStop)* ((AV$3-CapexMonth+1)*-DeprecExp) )</f>
        <v>0</v>
      </c>
      <c r="AW23" s="175" cm="1">
        <f t="array" ref="AW23">SUMPRODUCT( (CapexCategory=$C23)*(AW$3&gt;=CapexMonth) * (AW$3&lt;=DeprecStop)* ((AW$3-CapexMonth+1)*-DeprecExp) )</f>
        <v>0</v>
      </c>
      <c r="AX23" s="175" cm="1">
        <f t="array" ref="AX23">SUMPRODUCT( (CapexCategory=$C23)*(AX$3&gt;=CapexMonth) * (AX$3&lt;=DeprecStop)* ((AX$3-CapexMonth+1)*-DeprecExp) )</f>
        <v>0</v>
      </c>
      <c r="AY23" s="175" cm="1">
        <f t="array" ref="AY23">SUMPRODUCT( (CapexCategory=$C23)*(AY$3&gt;=CapexMonth) * (AY$3&lt;=DeprecStop)* ((AY$3-CapexMonth+1)*-DeprecExp) )</f>
        <v>0</v>
      </c>
      <c r="AZ23" s="175" cm="1">
        <f t="array" ref="AZ23">SUMPRODUCT( (CapexCategory=$C23)*(AZ$3&gt;=CapexMonth) * (AZ$3&lt;=DeprecStop)* ((AZ$3-CapexMonth+1)*-DeprecExp) )</f>
        <v>0</v>
      </c>
      <c r="BA23" s="175" cm="1">
        <f t="array" ref="BA23">SUMPRODUCT( (CapexCategory=$C23)*(BA$3&gt;=CapexMonth) * (BA$3&lt;=DeprecStop)* ((BA$3-CapexMonth+1)*-DeprecExp) )</f>
        <v>0</v>
      </c>
      <c r="BB23" s="175" cm="1">
        <f t="array" ref="BB23">SUMPRODUCT( (CapexCategory=$C23)*(BB$3&gt;=CapexMonth) * (BB$3&lt;=DeprecStop)* ((BB$3-CapexMonth+1)*-DeprecExp) )</f>
        <v>0</v>
      </c>
      <c r="BC23" s="175" cm="1">
        <f t="array" ref="BC23">SUMPRODUCT( (CapexCategory=$C23)*(BC$3&gt;=CapexMonth) * (BC$3&lt;=DeprecStop)* ((BC$3-CapexMonth+1)*-DeprecExp) )</f>
        <v>0</v>
      </c>
      <c r="BD23" s="175" cm="1">
        <f t="array" ref="BD23">SUMPRODUCT( (CapexCategory=$C23)*(BD$3&gt;=CapexMonth) * (BD$3&lt;=DeprecStop)* ((BD$3-CapexMonth+1)*-DeprecExp) )</f>
        <v>0</v>
      </c>
      <c r="BE23" s="175" cm="1">
        <f t="array" ref="BE23">SUMPRODUCT( (CapexCategory=$C23)*(BE$3&gt;=CapexMonth) * (BE$3&lt;=DeprecStop)* ((BE$3-CapexMonth+1)*-DeprecExp) )</f>
        <v>0</v>
      </c>
      <c r="BF23" s="176" cm="1">
        <f t="array" ref="BF23">SUMPRODUCT( (CapexCategory=$C23)*(BF$3&gt;=CapexMonth) * (BF$3&lt;=DeprecStop)* ((BF$3-CapexMonth+1)*-DeprecExp) )</f>
        <v>0</v>
      </c>
      <c r="BG23" s="175" cm="1">
        <f t="array" ref="BG23">SUMPRODUCT( (CapexCategory=$C23)*(BG$3&gt;=CapexMonth) * (BG$3&lt;=DeprecStop)* ((BG$3-CapexMonth+1)*-DeprecExp) )</f>
        <v>0</v>
      </c>
      <c r="BH23" s="175" cm="1">
        <f t="array" ref="BH23">SUMPRODUCT( (CapexCategory=$C23)*(BH$3&gt;=CapexMonth) * (BH$3&lt;=DeprecStop)* ((BH$3-CapexMonth+1)*-DeprecExp) )</f>
        <v>0</v>
      </c>
      <c r="BI23" s="175" cm="1">
        <f t="array" ref="BI23">SUMPRODUCT( (CapexCategory=$C23)*(BI$3&gt;=CapexMonth) * (BI$3&lt;=DeprecStop)* ((BI$3-CapexMonth+1)*-DeprecExp) )</f>
        <v>0</v>
      </c>
      <c r="BJ23" s="175" cm="1">
        <f t="array" ref="BJ23">SUMPRODUCT( (CapexCategory=$C23)*(BJ$3&gt;=CapexMonth) * (BJ$3&lt;=DeprecStop)* ((BJ$3-CapexMonth+1)*-DeprecExp) )</f>
        <v>0</v>
      </c>
      <c r="BK23" s="175" cm="1">
        <f t="array" ref="BK23">SUMPRODUCT( (CapexCategory=$C23)*(BK$3&gt;=CapexMonth) * (BK$3&lt;=DeprecStop)* ((BK$3-CapexMonth+1)*-DeprecExp) )</f>
        <v>0</v>
      </c>
      <c r="BL23" s="175" cm="1">
        <f t="array" ref="BL23">SUMPRODUCT( (CapexCategory=$C23)*(BL$3&gt;=CapexMonth) * (BL$3&lt;=DeprecStop)* ((BL$3-CapexMonth+1)*-DeprecExp) )</f>
        <v>0</v>
      </c>
      <c r="BM23" s="175" cm="1">
        <f t="array" ref="BM23">SUMPRODUCT( (CapexCategory=$C23)*(BM$3&gt;=CapexMonth) * (BM$3&lt;=DeprecStop)* ((BM$3-CapexMonth+1)*-DeprecExp) )</f>
        <v>0</v>
      </c>
      <c r="BN23" s="175" cm="1">
        <f t="array" ref="BN23">SUMPRODUCT( (CapexCategory=$C23)*(BN$3&gt;=CapexMonth) * (BN$3&lt;=DeprecStop)* ((BN$3-CapexMonth+1)*-DeprecExp) )</f>
        <v>0</v>
      </c>
      <c r="BO23" s="175" cm="1">
        <f t="array" ref="BO23">SUMPRODUCT( (CapexCategory=$C23)*(BO$3&gt;=CapexMonth) * (BO$3&lt;=DeprecStop)* ((BO$3-CapexMonth+1)*-DeprecExp) )</f>
        <v>0</v>
      </c>
      <c r="BP23" s="175" cm="1">
        <f t="array" ref="BP23">SUMPRODUCT( (CapexCategory=$C23)*(BP$3&gt;=CapexMonth) * (BP$3&lt;=DeprecStop)* ((BP$3-CapexMonth+1)*-DeprecExp) )</f>
        <v>0</v>
      </c>
      <c r="BQ23" s="175" cm="1">
        <f t="array" ref="BQ23">SUMPRODUCT( (CapexCategory=$C23)*(BQ$3&gt;=CapexMonth) * (BQ$3&lt;=DeprecStop)* ((BQ$3-CapexMonth+1)*-DeprecExp) )</f>
        <v>0</v>
      </c>
      <c r="BR23" s="176" cm="1">
        <f t="array" ref="BR23">SUMPRODUCT( (CapexCategory=$C23)*(BR$3&gt;=CapexMonth) * (BR$3&lt;=DeprecStop)* ((BR$3-CapexMonth+1)*-DeprecExp) )</f>
        <v>0</v>
      </c>
    </row>
    <row r="24" spans="1:70" ht="13.2" x14ac:dyDescent="0.3">
      <c r="C24" s="61" t="s">
        <v>96</v>
      </c>
      <c r="D24" s="14"/>
      <c r="E24" s="176">
        <f t="shared" si="17"/>
        <v>-50</v>
      </c>
      <c r="F24" s="176">
        <f t="shared" si="18"/>
        <v>0</v>
      </c>
      <c r="G24" s="176">
        <f t="shared" si="19"/>
        <v>0</v>
      </c>
      <c r="H24" s="176">
        <f t="shared" si="20"/>
        <v>0</v>
      </c>
      <c r="I24" s="176">
        <f t="shared" si="21"/>
        <v>0</v>
      </c>
      <c r="J24" s="129"/>
      <c r="K24" s="175" cm="1">
        <f t="array" ref="K24">SUMPRODUCT( (CapexCategory=$C24)*(K$3&gt;=CapexMonth) * (K$3&lt;=DeprecStop)* ((K$3-CapexMonth+1)*-DeprecExp) )</f>
        <v>0</v>
      </c>
      <c r="L24" s="175" cm="1">
        <f t="array" ref="L24">SUMPRODUCT( (CapexCategory=$C24)*(L$3&gt;=CapexMonth) * (L$3&lt;=DeprecStop)* ((L$3-CapexMonth+1)*-DeprecExp) )</f>
        <v>0</v>
      </c>
      <c r="M24" s="175" cm="1">
        <f t="array" ref="M24">SUMPRODUCT( (CapexCategory=$C24)*(M$3&gt;=CapexMonth) * (M$3&lt;=DeprecStop)* ((M$3-CapexMonth+1)*-DeprecExp) )</f>
        <v>0</v>
      </c>
      <c r="N24" s="175" cm="1">
        <f t="array" ref="N24">SUMPRODUCT( (CapexCategory=$C24)*(N$3&gt;=CapexMonth) * (N$3&lt;=DeprecStop)* ((N$3-CapexMonth+1)*-DeprecExp) )</f>
        <v>0</v>
      </c>
      <c r="O24" s="175" cm="1">
        <f t="array" ref="O24">SUMPRODUCT( (CapexCategory=$C24)*(O$3&gt;=CapexMonth) * (O$3&lt;=DeprecStop)* ((O$3-CapexMonth+1)*-DeprecExp) )</f>
        <v>0</v>
      </c>
      <c r="P24" s="175" cm="1">
        <f t="array" ref="P24">SUMPRODUCT( (CapexCategory=$C24)*(P$3&gt;=CapexMonth) * (P$3&lt;=DeprecStop)* ((P$3-CapexMonth+1)*-DeprecExp) )</f>
        <v>-7.1428571428571432</v>
      </c>
      <c r="Q24" s="175" cm="1">
        <f t="array" ref="Q24">SUMPRODUCT( (CapexCategory=$C24)*(Q$3&gt;=CapexMonth) * (Q$3&lt;=DeprecStop)* ((Q$3-CapexMonth+1)*-DeprecExp) )</f>
        <v>-14.285714285714286</v>
      </c>
      <c r="R24" s="175" cm="1">
        <f t="array" ref="R24">SUMPRODUCT( (CapexCategory=$C24)*(R$3&gt;=CapexMonth) * (R$3&lt;=DeprecStop)* ((R$3-CapexMonth+1)*-DeprecExp) )</f>
        <v>-21.428571428571431</v>
      </c>
      <c r="S24" s="175" cm="1">
        <f t="array" ref="S24">SUMPRODUCT( (CapexCategory=$C24)*(S$3&gt;=CapexMonth) * (S$3&lt;=DeprecStop)* ((S$3-CapexMonth+1)*-DeprecExp) )</f>
        <v>-28.571428571428573</v>
      </c>
      <c r="T24" s="175" cm="1">
        <f t="array" ref="T24">SUMPRODUCT( (CapexCategory=$C24)*(T$3&gt;=CapexMonth) * (T$3&lt;=DeprecStop)* ((T$3-CapexMonth+1)*-DeprecExp) )</f>
        <v>-35.714285714285715</v>
      </c>
      <c r="U24" s="175" cm="1">
        <f t="array" ref="U24">SUMPRODUCT( (CapexCategory=$C24)*(U$3&gt;=CapexMonth) * (U$3&lt;=DeprecStop)* ((U$3-CapexMonth+1)*-DeprecExp) )</f>
        <v>-42.857142857142861</v>
      </c>
      <c r="V24" s="176" cm="1">
        <f t="array" ref="V24">SUMPRODUCT( (CapexCategory=$C24)*(V$3&gt;=CapexMonth) * (V$3&lt;=DeprecStop)* ((V$3-CapexMonth+1)*-DeprecExp) )</f>
        <v>-50</v>
      </c>
      <c r="W24" s="175" cm="1">
        <f t="array" ref="W24">SUMPRODUCT( (CapexCategory=$C24)*(W$3&gt;=CapexMonth) * (W$3&lt;=DeprecStop)* ((W$3-CapexMonth+1)*-DeprecExp) )</f>
        <v>-57.142857142857146</v>
      </c>
      <c r="X24" s="175" cm="1">
        <f t="array" ref="X24">SUMPRODUCT( (CapexCategory=$C24)*(X$3&gt;=CapexMonth) * (X$3&lt;=DeprecStop)* ((X$3-CapexMonth+1)*-DeprecExp) )</f>
        <v>-64.285714285714292</v>
      </c>
      <c r="Y24" s="175" cm="1">
        <f t="array" ref="Y24">SUMPRODUCT( (CapexCategory=$C24)*(Y$3&gt;=CapexMonth) * (Y$3&lt;=DeprecStop)* ((Y$3-CapexMonth+1)*-DeprecExp) )</f>
        <v>-71.428571428571431</v>
      </c>
      <c r="Z24" s="175" cm="1">
        <f t="array" ref="Z24">SUMPRODUCT( (CapexCategory=$C24)*(Z$3&gt;=CapexMonth) * (Z$3&lt;=DeprecStop)* ((Z$3-CapexMonth+1)*-DeprecExp) )</f>
        <v>-78.571428571428569</v>
      </c>
      <c r="AA24" s="175" cm="1">
        <f t="array" ref="AA24">SUMPRODUCT( (CapexCategory=$C24)*(AA$3&gt;=CapexMonth) * (AA$3&lt;=DeprecStop)* ((AA$3-CapexMonth+1)*-DeprecExp) )</f>
        <v>-85.714285714285722</v>
      </c>
      <c r="AB24" s="175" cm="1">
        <f t="array" ref="AB24">SUMPRODUCT( (CapexCategory=$C24)*(AB$3&gt;=CapexMonth) * (AB$3&lt;=DeprecStop)* ((AB$3-CapexMonth+1)*-DeprecExp) )</f>
        <v>-92.857142857142861</v>
      </c>
      <c r="AC24" s="175" cm="1">
        <f t="array" ref="AC24">SUMPRODUCT( (CapexCategory=$C24)*(AC$3&gt;=CapexMonth) * (AC$3&lt;=DeprecStop)* ((AC$3-CapexMonth+1)*-DeprecExp) )</f>
        <v>-100</v>
      </c>
      <c r="AD24" s="175" cm="1">
        <f t="array" ref="AD24">SUMPRODUCT( (CapexCategory=$C24)*(AD$3&gt;=CapexMonth) * (AD$3&lt;=DeprecStop)* ((AD$3-CapexMonth+1)*-DeprecExp) )</f>
        <v>0</v>
      </c>
      <c r="AE24" s="175" cm="1">
        <f t="array" ref="AE24">SUMPRODUCT( (CapexCategory=$C24)*(AE$3&gt;=CapexMonth) * (AE$3&lt;=DeprecStop)* ((AE$3-CapexMonth+1)*-DeprecExp) )</f>
        <v>0</v>
      </c>
      <c r="AF24" s="175" cm="1">
        <f t="array" ref="AF24">SUMPRODUCT( (CapexCategory=$C24)*(AF$3&gt;=CapexMonth) * (AF$3&lt;=DeprecStop)* ((AF$3-CapexMonth+1)*-DeprecExp) )</f>
        <v>0</v>
      </c>
      <c r="AG24" s="175" cm="1">
        <f t="array" ref="AG24">SUMPRODUCT( (CapexCategory=$C24)*(AG$3&gt;=CapexMonth) * (AG$3&lt;=DeprecStop)* ((AG$3-CapexMonth+1)*-DeprecExp) )</f>
        <v>0</v>
      </c>
      <c r="AH24" s="176" cm="1">
        <f t="array" ref="AH24">SUMPRODUCT( (CapexCategory=$C24)*(AH$3&gt;=CapexMonth) * (AH$3&lt;=DeprecStop)* ((AH$3-CapexMonth+1)*-DeprecExp) )</f>
        <v>0</v>
      </c>
      <c r="AI24" s="175" cm="1">
        <f t="array" ref="AI24">SUMPRODUCT( (CapexCategory=$C24)*(AI$3&gt;=CapexMonth) * (AI$3&lt;=DeprecStop)* ((AI$3-CapexMonth+1)*-DeprecExp) )</f>
        <v>0</v>
      </c>
      <c r="AJ24" s="175" cm="1">
        <f t="array" ref="AJ24">SUMPRODUCT( (CapexCategory=$C24)*(AJ$3&gt;=CapexMonth) * (AJ$3&lt;=DeprecStop)* ((AJ$3-CapexMonth+1)*-DeprecExp) )</f>
        <v>0</v>
      </c>
      <c r="AK24" s="175" cm="1">
        <f t="array" ref="AK24">SUMPRODUCT( (CapexCategory=$C24)*(AK$3&gt;=CapexMonth) * (AK$3&lt;=DeprecStop)* ((AK$3-CapexMonth+1)*-DeprecExp) )</f>
        <v>0</v>
      </c>
      <c r="AL24" s="175" cm="1">
        <f t="array" ref="AL24">SUMPRODUCT( (CapexCategory=$C24)*(AL$3&gt;=CapexMonth) * (AL$3&lt;=DeprecStop)* ((AL$3-CapexMonth+1)*-DeprecExp) )</f>
        <v>0</v>
      </c>
      <c r="AM24" s="175" cm="1">
        <f t="array" ref="AM24">SUMPRODUCT( (CapexCategory=$C24)*(AM$3&gt;=CapexMonth) * (AM$3&lt;=DeprecStop)* ((AM$3-CapexMonth+1)*-DeprecExp) )</f>
        <v>0</v>
      </c>
      <c r="AN24" s="175" cm="1">
        <f t="array" ref="AN24">SUMPRODUCT( (CapexCategory=$C24)*(AN$3&gt;=CapexMonth) * (AN$3&lt;=DeprecStop)* ((AN$3-CapexMonth+1)*-DeprecExp) )</f>
        <v>0</v>
      </c>
      <c r="AO24" s="175" cm="1">
        <f t="array" ref="AO24">SUMPRODUCT( (CapexCategory=$C24)*(AO$3&gt;=CapexMonth) * (AO$3&lt;=DeprecStop)* ((AO$3-CapexMonth+1)*-DeprecExp) )</f>
        <v>0</v>
      </c>
      <c r="AP24" s="175" cm="1">
        <f t="array" ref="AP24">SUMPRODUCT( (CapexCategory=$C24)*(AP$3&gt;=CapexMonth) * (AP$3&lt;=DeprecStop)* ((AP$3-CapexMonth+1)*-DeprecExp) )</f>
        <v>0</v>
      </c>
      <c r="AQ24" s="175" cm="1">
        <f t="array" ref="AQ24">SUMPRODUCT( (CapexCategory=$C24)*(AQ$3&gt;=CapexMonth) * (AQ$3&lt;=DeprecStop)* ((AQ$3-CapexMonth+1)*-DeprecExp) )</f>
        <v>0</v>
      </c>
      <c r="AR24" s="175" cm="1">
        <f t="array" ref="AR24">SUMPRODUCT( (CapexCategory=$C24)*(AR$3&gt;=CapexMonth) * (AR$3&lt;=DeprecStop)* ((AR$3-CapexMonth+1)*-DeprecExp) )</f>
        <v>0</v>
      </c>
      <c r="AS24" s="175" cm="1">
        <f t="array" ref="AS24">SUMPRODUCT( (CapexCategory=$C24)*(AS$3&gt;=CapexMonth) * (AS$3&lt;=DeprecStop)* ((AS$3-CapexMonth+1)*-DeprecExp) )</f>
        <v>0</v>
      </c>
      <c r="AT24" s="176" cm="1">
        <f t="array" ref="AT24">SUMPRODUCT( (CapexCategory=$C24)*(AT$3&gt;=CapexMonth) * (AT$3&lt;=DeprecStop)* ((AT$3-CapexMonth+1)*-DeprecExp) )</f>
        <v>0</v>
      </c>
      <c r="AU24" s="175" cm="1">
        <f t="array" ref="AU24">SUMPRODUCT( (CapexCategory=$C24)*(AU$3&gt;=CapexMonth) * (AU$3&lt;=DeprecStop)* ((AU$3-CapexMonth+1)*-DeprecExp) )</f>
        <v>0</v>
      </c>
      <c r="AV24" s="175" cm="1">
        <f t="array" ref="AV24">SUMPRODUCT( (CapexCategory=$C24)*(AV$3&gt;=CapexMonth) * (AV$3&lt;=DeprecStop)* ((AV$3-CapexMonth+1)*-DeprecExp) )</f>
        <v>0</v>
      </c>
      <c r="AW24" s="175" cm="1">
        <f t="array" ref="AW24">SUMPRODUCT( (CapexCategory=$C24)*(AW$3&gt;=CapexMonth) * (AW$3&lt;=DeprecStop)* ((AW$3-CapexMonth+1)*-DeprecExp) )</f>
        <v>0</v>
      </c>
      <c r="AX24" s="175" cm="1">
        <f t="array" ref="AX24">SUMPRODUCT( (CapexCategory=$C24)*(AX$3&gt;=CapexMonth) * (AX$3&lt;=DeprecStop)* ((AX$3-CapexMonth+1)*-DeprecExp) )</f>
        <v>0</v>
      </c>
      <c r="AY24" s="175" cm="1">
        <f t="array" ref="AY24">SUMPRODUCT( (CapexCategory=$C24)*(AY$3&gt;=CapexMonth) * (AY$3&lt;=DeprecStop)* ((AY$3-CapexMonth+1)*-DeprecExp) )</f>
        <v>0</v>
      </c>
      <c r="AZ24" s="175" cm="1">
        <f t="array" ref="AZ24">SUMPRODUCT( (CapexCategory=$C24)*(AZ$3&gt;=CapexMonth) * (AZ$3&lt;=DeprecStop)* ((AZ$3-CapexMonth+1)*-DeprecExp) )</f>
        <v>0</v>
      </c>
      <c r="BA24" s="175" cm="1">
        <f t="array" ref="BA24">SUMPRODUCT( (CapexCategory=$C24)*(BA$3&gt;=CapexMonth) * (BA$3&lt;=DeprecStop)* ((BA$3-CapexMonth+1)*-DeprecExp) )</f>
        <v>0</v>
      </c>
      <c r="BB24" s="175" cm="1">
        <f t="array" ref="BB24">SUMPRODUCT( (CapexCategory=$C24)*(BB$3&gt;=CapexMonth) * (BB$3&lt;=DeprecStop)* ((BB$3-CapexMonth+1)*-DeprecExp) )</f>
        <v>0</v>
      </c>
      <c r="BC24" s="175" cm="1">
        <f t="array" ref="BC24">SUMPRODUCT( (CapexCategory=$C24)*(BC$3&gt;=CapexMonth) * (BC$3&lt;=DeprecStop)* ((BC$3-CapexMonth+1)*-DeprecExp) )</f>
        <v>0</v>
      </c>
      <c r="BD24" s="175" cm="1">
        <f t="array" ref="BD24">SUMPRODUCT( (CapexCategory=$C24)*(BD$3&gt;=CapexMonth) * (BD$3&lt;=DeprecStop)* ((BD$3-CapexMonth+1)*-DeprecExp) )</f>
        <v>0</v>
      </c>
      <c r="BE24" s="175" cm="1">
        <f t="array" ref="BE24">SUMPRODUCT( (CapexCategory=$C24)*(BE$3&gt;=CapexMonth) * (BE$3&lt;=DeprecStop)* ((BE$3-CapexMonth+1)*-DeprecExp) )</f>
        <v>0</v>
      </c>
      <c r="BF24" s="176" cm="1">
        <f t="array" ref="BF24">SUMPRODUCT( (CapexCategory=$C24)*(BF$3&gt;=CapexMonth) * (BF$3&lt;=DeprecStop)* ((BF$3-CapexMonth+1)*-DeprecExp) )</f>
        <v>0</v>
      </c>
      <c r="BG24" s="175" cm="1">
        <f t="array" ref="BG24">SUMPRODUCT( (CapexCategory=$C24)*(BG$3&gt;=CapexMonth) * (BG$3&lt;=DeprecStop)* ((BG$3-CapexMonth+1)*-DeprecExp) )</f>
        <v>0</v>
      </c>
      <c r="BH24" s="175" cm="1">
        <f t="array" ref="BH24">SUMPRODUCT( (CapexCategory=$C24)*(BH$3&gt;=CapexMonth) * (BH$3&lt;=DeprecStop)* ((BH$3-CapexMonth+1)*-DeprecExp) )</f>
        <v>0</v>
      </c>
      <c r="BI24" s="175" cm="1">
        <f t="array" ref="BI24">SUMPRODUCT( (CapexCategory=$C24)*(BI$3&gt;=CapexMonth) * (BI$3&lt;=DeprecStop)* ((BI$3-CapexMonth+1)*-DeprecExp) )</f>
        <v>0</v>
      </c>
      <c r="BJ24" s="175" cm="1">
        <f t="array" ref="BJ24">SUMPRODUCT( (CapexCategory=$C24)*(BJ$3&gt;=CapexMonth) * (BJ$3&lt;=DeprecStop)* ((BJ$3-CapexMonth+1)*-DeprecExp) )</f>
        <v>0</v>
      </c>
      <c r="BK24" s="175" cm="1">
        <f t="array" ref="BK24">SUMPRODUCT( (CapexCategory=$C24)*(BK$3&gt;=CapexMonth) * (BK$3&lt;=DeprecStop)* ((BK$3-CapexMonth+1)*-DeprecExp) )</f>
        <v>0</v>
      </c>
      <c r="BL24" s="175" cm="1">
        <f t="array" ref="BL24">SUMPRODUCT( (CapexCategory=$C24)*(BL$3&gt;=CapexMonth) * (BL$3&lt;=DeprecStop)* ((BL$3-CapexMonth+1)*-DeprecExp) )</f>
        <v>0</v>
      </c>
      <c r="BM24" s="175" cm="1">
        <f t="array" ref="BM24">SUMPRODUCT( (CapexCategory=$C24)*(BM$3&gt;=CapexMonth) * (BM$3&lt;=DeprecStop)* ((BM$3-CapexMonth+1)*-DeprecExp) )</f>
        <v>0</v>
      </c>
      <c r="BN24" s="175" cm="1">
        <f t="array" ref="BN24">SUMPRODUCT( (CapexCategory=$C24)*(BN$3&gt;=CapexMonth) * (BN$3&lt;=DeprecStop)* ((BN$3-CapexMonth+1)*-DeprecExp) )</f>
        <v>0</v>
      </c>
      <c r="BO24" s="175" cm="1">
        <f t="array" ref="BO24">SUMPRODUCT( (CapexCategory=$C24)*(BO$3&gt;=CapexMonth) * (BO$3&lt;=DeprecStop)* ((BO$3-CapexMonth+1)*-DeprecExp) )</f>
        <v>0</v>
      </c>
      <c r="BP24" s="175" cm="1">
        <f t="array" ref="BP24">SUMPRODUCT( (CapexCategory=$C24)*(BP$3&gt;=CapexMonth) * (BP$3&lt;=DeprecStop)* ((BP$3-CapexMonth+1)*-DeprecExp) )</f>
        <v>0</v>
      </c>
      <c r="BQ24" s="175" cm="1">
        <f t="array" ref="BQ24">SUMPRODUCT( (CapexCategory=$C24)*(BQ$3&gt;=CapexMonth) * (BQ$3&lt;=DeprecStop)* ((BQ$3-CapexMonth+1)*-DeprecExp) )</f>
        <v>0</v>
      </c>
      <c r="BR24" s="176" cm="1">
        <f t="array" ref="BR24">SUMPRODUCT( (CapexCategory=$C24)*(BR$3&gt;=CapexMonth) * (BR$3&lt;=DeprecStop)* ((BR$3-CapexMonth+1)*-DeprecExp) )</f>
        <v>0</v>
      </c>
    </row>
    <row r="25" spans="1:70" ht="13.2" x14ac:dyDescent="0.3">
      <c r="C25" s="61" t="s">
        <v>97</v>
      </c>
      <c r="D25" s="14"/>
      <c r="E25" s="176"/>
      <c r="F25" s="176"/>
      <c r="G25" s="176"/>
      <c r="H25" s="176"/>
      <c r="I25" s="176"/>
      <c r="J25" s="129"/>
      <c r="K25" s="175" cm="1">
        <f t="array" ref="K25">SUMPRODUCT( (CapexCategory=$C25)*(K$3&gt;=CapexMonth) * (K$3&lt;=DeprecStop)* ((K$3-CapexMonth+1)*-DeprecExp) )</f>
        <v>0</v>
      </c>
      <c r="L25" s="175" cm="1">
        <f t="array" ref="L25">SUMPRODUCT( (CapexCategory=$C25)*(L$3&gt;=CapexMonth) * (L$3&lt;=DeprecStop)* ((L$3-CapexMonth+1)*-DeprecExp) )</f>
        <v>0</v>
      </c>
      <c r="M25" s="175" cm="1">
        <f t="array" ref="M25">SUMPRODUCT( (CapexCategory=$C25)*(M$3&gt;=CapexMonth) * (M$3&lt;=DeprecStop)* ((M$3-CapexMonth+1)*-DeprecExp) )</f>
        <v>0</v>
      </c>
      <c r="N25" s="175" cm="1">
        <f t="array" ref="N25">SUMPRODUCT( (CapexCategory=$C25)*(N$3&gt;=CapexMonth) * (N$3&lt;=DeprecStop)* ((N$3-CapexMonth+1)*-DeprecExp) )</f>
        <v>0</v>
      </c>
      <c r="O25" s="175" cm="1">
        <f t="array" ref="O25">SUMPRODUCT( (CapexCategory=$C25)*(O$3&gt;=CapexMonth) * (O$3&lt;=DeprecStop)* ((O$3-CapexMonth+1)*-DeprecExp) )</f>
        <v>0</v>
      </c>
      <c r="P25" s="175" cm="1">
        <f t="array" ref="P25">SUMPRODUCT( (CapexCategory=$C25)*(P$3&gt;=CapexMonth) * (P$3&lt;=DeprecStop)* ((P$3-CapexMonth+1)*-DeprecExp) )</f>
        <v>0</v>
      </c>
      <c r="Q25" s="175" cm="1">
        <f t="array" ref="Q25">SUMPRODUCT( (CapexCategory=$C25)*(Q$3&gt;=CapexMonth) * (Q$3&lt;=DeprecStop)* ((Q$3-CapexMonth+1)*-DeprecExp) )</f>
        <v>0</v>
      </c>
      <c r="R25" s="175" cm="1">
        <f t="array" ref="R25">SUMPRODUCT( (CapexCategory=$C25)*(R$3&gt;=CapexMonth) * (R$3&lt;=DeprecStop)* ((R$3-CapexMonth+1)*-DeprecExp) )</f>
        <v>0</v>
      </c>
      <c r="S25" s="175" cm="1">
        <f t="array" ref="S25">SUMPRODUCT( (CapexCategory=$C25)*(S$3&gt;=CapexMonth) * (S$3&lt;=DeprecStop)* ((S$3-CapexMonth+1)*-DeprecExp) )</f>
        <v>0</v>
      </c>
      <c r="T25" s="175" cm="1">
        <f t="array" ref="T25">SUMPRODUCT( (CapexCategory=$C25)*(T$3&gt;=CapexMonth) * (T$3&lt;=DeprecStop)* ((T$3-CapexMonth+1)*-DeprecExp) )</f>
        <v>0</v>
      </c>
      <c r="U25" s="175" cm="1">
        <f t="array" ref="U25">SUMPRODUCT( (CapexCategory=$C25)*(U$3&gt;=CapexMonth) * (U$3&lt;=DeprecStop)* ((U$3-CapexMonth+1)*-DeprecExp) )</f>
        <v>0</v>
      </c>
      <c r="V25" s="176" cm="1">
        <f t="array" ref="V25">SUMPRODUCT( (CapexCategory=$C25)*(V$3&gt;=CapexMonth) * (V$3&lt;=DeprecStop)* ((V$3-CapexMonth+1)*-DeprecExp) )</f>
        <v>0</v>
      </c>
      <c r="W25" s="175" cm="1">
        <f t="array" ref="W25">SUMPRODUCT( (CapexCategory=$C25)*(W$3&gt;=CapexMonth) * (W$3&lt;=DeprecStop)* ((W$3-CapexMonth+1)*-DeprecExp) )</f>
        <v>0</v>
      </c>
      <c r="X25" s="175" cm="1">
        <f t="array" ref="X25">SUMPRODUCT( (CapexCategory=$C25)*(X$3&gt;=CapexMonth) * (X$3&lt;=DeprecStop)* ((X$3-CapexMonth+1)*-DeprecExp) )</f>
        <v>0</v>
      </c>
      <c r="Y25" s="175" cm="1">
        <f t="array" ref="Y25">SUMPRODUCT( (CapexCategory=$C25)*(Y$3&gt;=CapexMonth) * (Y$3&lt;=DeprecStop)* ((Y$3-CapexMonth+1)*-DeprecExp) )</f>
        <v>0</v>
      </c>
      <c r="Z25" s="175" cm="1">
        <f t="array" ref="Z25">SUMPRODUCT( (CapexCategory=$C25)*(Z$3&gt;=CapexMonth) * (Z$3&lt;=DeprecStop)* ((Z$3-CapexMonth+1)*-DeprecExp) )</f>
        <v>0</v>
      </c>
      <c r="AA25" s="175" cm="1">
        <f t="array" ref="AA25">SUMPRODUCT( (CapexCategory=$C25)*(AA$3&gt;=CapexMonth) * (AA$3&lt;=DeprecStop)* ((AA$3-CapexMonth+1)*-DeprecExp) )</f>
        <v>0</v>
      </c>
      <c r="AB25" s="175" cm="1">
        <f t="array" ref="AB25">SUMPRODUCT( (CapexCategory=$C25)*(AB$3&gt;=CapexMonth) * (AB$3&lt;=DeprecStop)* ((AB$3-CapexMonth+1)*-DeprecExp) )</f>
        <v>0</v>
      </c>
      <c r="AC25" s="175" cm="1">
        <f t="array" ref="AC25">SUMPRODUCT( (CapexCategory=$C25)*(AC$3&gt;=CapexMonth) * (AC$3&lt;=DeprecStop)* ((AC$3-CapexMonth+1)*-DeprecExp) )</f>
        <v>0</v>
      </c>
      <c r="AD25" s="175" cm="1">
        <f t="array" ref="AD25">SUMPRODUCT( (CapexCategory=$C25)*(AD$3&gt;=CapexMonth) * (AD$3&lt;=DeprecStop)* ((AD$3-CapexMonth+1)*-DeprecExp) )</f>
        <v>0</v>
      </c>
      <c r="AE25" s="175" cm="1">
        <f t="array" ref="AE25">SUMPRODUCT( (CapexCategory=$C25)*(AE$3&gt;=CapexMonth) * (AE$3&lt;=DeprecStop)* ((AE$3-CapexMonth+1)*-DeprecExp) )</f>
        <v>0</v>
      </c>
      <c r="AF25" s="175" cm="1">
        <f t="array" ref="AF25">SUMPRODUCT( (CapexCategory=$C25)*(AF$3&gt;=CapexMonth) * (AF$3&lt;=DeprecStop)* ((AF$3-CapexMonth+1)*-DeprecExp) )</f>
        <v>0</v>
      </c>
      <c r="AG25" s="175" cm="1">
        <f t="array" ref="AG25">SUMPRODUCT( (CapexCategory=$C25)*(AG$3&gt;=CapexMonth) * (AG$3&lt;=DeprecStop)* ((AG$3-CapexMonth+1)*-DeprecExp) )</f>
        <v>0</v>
      </c>
      <c r="AH25" s="176" cm="1">
        <f t="array" ref="AH25">SUMPRODUCT( (CapexCategory=$C25)*(AH$3&gt;=CapexMonth) * (AH$3&lt;=DeprecStop)* ((AH$3-CapexMonth+1)*-DeprecExp) )</f>
        <v>0</v>
      </c>
      <c r="AI25" s="175" cm="1">
        <f t="array" ref="AI25">SUMPRODUCT( (CapexCategory=$C25)*(AI$3&gt;=CapexMonth) * (AI$3&lt;=DeprecStop)* ((AI$3-CapexMonth+1)*-DeprecExp) )</f>
        <v>0</v>
      </c>
      <c r="AJ25" s="175" cm="1">
        <f t="array" ref="AJ25">SUMPRODUCT( (CapexCategory=$C25)*(AJ$3&gt;=CapexMonth) * (AJ$3&lt;=DeprecStop)* ((AJ$3-CapexMonth+1)*-DeprecExp) )</f>
        <v>0</v>
      </c>
      <c r="AK25" s="175" cm="1">
        <f t="array" ref="AK25">SUMPRODUCT( (CapexCategory=$C25)*(AK$3&gt;=CapexMonth) * (AK$3&lt;=DeprecStop)* ((AK$3-CapexMonth+1)*-DeprecExp) )</f>
        <v>0</v>
      </c>
      <c r="AL25" s="175" cm="1">
        <f t="array" ref="AL25">SUMPRODUCT( (CapexCategory=$C25)*(AL$3&gt;=CapexMonth) * (AL$3&lt;=DeprecStop)* ((AL$3-CapexMonth+1)*-DeprecExp) )</f>
        <v>0</v>
      </c>
      <c r="AM25" s="175" cm="1">
        <f t="array" ref="AM25">SUMPRODUCT( (CapexCategory=$C25)*(AM$3&gt;=CapexMonth) * (AM$3&lt;=DeprecStop)* ((AM$3-CapexMonth+1)*-DeprecExp) )</f>
        <v>0</v>
      </c>
      <c r="AN25" s="175" cm="1">
        <f t="array" ref="AN25">SUMPRODUCT( (CapexCategory=$C25)*(AN$3&gt;=CapexMonth) * (AN$3&lt;=DeprecStop)* ((AN$3-CapexMonth+1)*-DeprecExp) )</f>
        <v>0</v>
      </c>
      <c r="AO25" s="175" cm="1">
        <f t="array" ref="AO25">SUMPRODUCT( (CapexCategory=$C25)*(AO$3&gt;=CapexMonth) * (AO$3&lt;=DeprecStop)* ((AO$3-CapexMonth+1)*-DeprecExp) )</f>
        <v>0</v>
      </c>
      <c r="AP25" s="175" cm="1">
        <f t="array" ref="AP25">SUMPRODUCT( (CapexCategory=$C25)*(AP$3&gt;=CapexMonth) * (AP$3&lt;=DeprecStop)* ((AP$3-CapexMonth+1)*-DeprecExp) )</f>
        <v>0</v>
      </c>
      <c r="AQ25" s="175" cm="1">
        <f t="array" ref="AQ25">SUMPRODUCT( (CapexCategory=$C25)*(AQ$3&gt;=CapexMonth) * (AQ$3&lt;=DeprecStop)* ((AQ$3-CapexMonth+1)*-DeprecExp) )</f>
        <v>0</v>
      </c>
      <c r="AR25" s="175" cm="1">
        <f t="array" ref="AR25">SUMPRODUCT( (CapexCategory=$C25)*(AR$3&gt;=CapexMonth) * (AR$3&lt;=DeprecStop)* ((AR$3-CapexMonth+1)*-DeprecExp) )</f>
        <v>0</v>
      </c>
      <c r="AS25" s="175" cm="1">
        <f t="array" ref="AS25">SUMPRODUCT( (CapexCategory=$C25)*(AS$3&gt;=CapexMonth) * (AS$3&lt;=DeprecStop)* ((AS$3-CapexMonth+1)*-DeprecExp) )</f>
        <v>0</v>
      </c>
      <c r="AT25" s="176" cm="1">
        <f t="array" ref="AT25">SUMPRODUCT( (CapexCategory=$C25)*(AT$3&gt;=CapexMonth) * (AT$3&lt;=DeprecStop)* ((AT$3-CapexMonth+1)*-DeprecExp) )</f>
        <v>0</v>
      </c>
      <c r="AU25" s="175" cm="1">
        <f t="array" ref="AU25">SUMPRODUCT( (CapexCategory=$C25)*(AU$3&gt;=CapexMonth) * (AU$3&lt;=DeprecStop)* ((AU$3-CapexMonth+1)*-DeprecExp) )</f>
        <v>0</v>
      </c>
      <c r="AV25" s="175" cm="1">
        <f t="array" ref="AV25">SUMPRODUCT( (CapexCategory=$C25)*(AV$3&gt;=CapexMonth) * (AV$3&lt;=DeprecStop)* ((AV$3-CapexMonth+1)*-DeprecExp) )</f>
        <v>0</v>
      </c>
      <c r="AW25" s="175" cm="1">
        <f t="array" ref="AW25">SUMPRODUCT( (CapexCategory=$C25)*(AW$3&gt;=CapexMonth) * (AW$3&lt;=DeprecStop)* ((AW$3-CapexMonth+1)*-DeprecExp) )</f>
        <v>0</v>
      </c>
      <c r="AX25" s="175" cm="1">
        <f t="array" ref="AX25">SUMPRODUCT( (CapexCategory=$C25)*(AX$3&gt;=CapexMonth) * (AX$3&lt;=DeprecStop)* ((AX$3-CapexMonth+1)*-DeprecExp) )</f>
        <v>0</v>
      </c>
      <c r="AY25" s="175" cm="1">
        <f t="array" ref="AY25">SUMPRODUCT( (CapexCategory=$C25)*(AY$3&gt;=CapexMonth) * (AY$3&lt;=DeprecStop)* ((AY$3-CapexMonth+1)*-DeprecExp) )</f>
        <v>0</v>
      </c>
      <c r="AZ25" s="175" cm="1">
        <f t="array" ref="AZ25">SUMPRODUCT( (CapexCategory=$C25)*(AZ$3&gt;=CapexMonth) * (AZ$3&lt;=DeprecStop)* ((AZ$3-CapexMonth+1)*-DeprecExp) )</f>
        <v>0</v>
      </c>
      <c r="BA25" s="175" cm="1">
        <f t="array" ref="BA25">SUMPRODUCT( (CapexCategory=$C25)*(BA$3&gt;=CapexMonth) * (BA$3&lt;=DeprecStop)* ((BA$3-CapexMonth+1)*-DeprecExp) )</f>
        <v>0</v>
      </c>
      <c r="BB25" s="175" cm="1">
        <f t="array" ref="BB25">SUMPRODUCT( (CapexCategory=$C25)*(BB$3&gt;=CapexMonth) * (BB$3&lt;=DeprecStop)* ((BB$3-CapexMonth+1)*-DeprecExp) )</f>
        <v>0</v>
      </c>
      <c r="BC25" s="175" cm="1">
        <f t="array" ref="BC25">SUMPRODUCT( (CapexCategory=$C25)*(BC$3&gt;=CapexMonth) * (BC$3&lt;=DeprecStop)* ((BC$3-CapexMonth+1)*-DeprecExp) )</f>
        <v>0</v>
      </c>
      <c r="BD25" s="175" cm="1">
        <f t="array" ref="BD25">SUMPRODUCT( (CapexCategory=$C25)*(BD$3&gt;=CapexMonth) * (BD$3&lt;=DeprecStop)* ((BD$3-CapexMonth+1)*-DeprecExp) )</f>
        <v>0</v>
      </c>
      <c r="BE25" s="175" cm="1">
        <f t="array" ref="BE25">SUMPRODUCT( (CapexCategory=$C25)*(BE$3&gt;=CapexMonth) * (BE$3&lt;=DeprecStop)* ((BE$3-CapexMonth+1)*-DeprecExp) )</f>
        <v>0</v>
      </c>
      <c r="BF25" s="176" cm="1">
        <f t="array" ref="BF25">SUMPRODUCT( (CapexCategory=$C25)*(BF$3&gt;=CapexMonth) * (BF$3&lt;=DeprecStop)* ((BF$3-CapexMonth+1)*-DeprecExp) )</f>
        <v>0</v>
      </c>
      <c r="BG25" s="175" cm="1">
        <f t="array" ref="BG25">SUMPRODUCT( (CapexCategory=$C25)*(BG$3&gt;=CapexMonth) * (BG$3&lt;=DeprecStop)* ((BG$3-CapexMonth+1)*-DeprecExp) )</f>
        <v>0</v>
      </c>
      <c r="BH25" s="175" cm="1">
        <f t="array" ref="BH25">SUMPRODUCT( (CapexCategory=$C25)*(BH$3&gt;=CapexMonth) * (BH$3&lt;=DeprecStop)* ((BH$3-CapexMonth+1)*-DeprecExp) )</f>
        <v>0</v>
      </c>
      <c r="BI25" s="175" cm="1">
        <f t="array" ref="BI25">SUMPRODUCT( (CapexCategory=$C25)*(BI$3&gt;=CapexMonth) * (BI$3&lt;=DeprecStop)* ((BI$3-CapexMonth+1)*-DeprecExp) )</f>
        <v>0</v>
      </c>
      <c r="BJ25" s="175" cm="1">
        <f t="array" ref="BJ25">SUMPRODUCT( (CapexCategory=$C25)*(BJ$3&gt;=CapexMonth) * (BJ$3&lt;=DeprecStop)* ((BJ$3-CapexMonth+1)*-DeprecExp) )</f>
        <v>0</v>
      </c>
      <c r="BK25" s="175" cm="1">
        <f t="array" ref="BK25">SUMPRODUCT( (CapexCategory=$C25)*(BK$3&gt;=CapexMonth) * (BK$3&lt;=DeprecStop)* ((BK$3-CapexMonth+1)*-DeprecExp) )</f>
        <v>0</v>
      </c>
      <c r="BL25" s="175" cm="1">
        <f t="array" ref="BL25">SUMPRODUCT( (CapexCategory=$C25)*(BL$3&gt;=CapexMonth) * (BL$3&lt;=DeprecStop)* ((BL$3-CapexMonth+1)*-DeprecExp) )</f>
        <v>0</v>
      </c>
      <c r="BM25" s="175" cm="1">
        <f t="array" ref="BM25">SUMPRODUCT( (CapexCategory=$C25)*(BM$3&gt;=CapexMonth) * (BM$3&lt;=DeprecStop)* ((BM$3-CapexMonth+1)*-DeprecExp) )</f>
        <v>0</v>
      </c>
      <c r="BN25" s="175" cm="1">
        <f t="array" ref="BN25">SUMPRODUCT( (CapexCategory=$C25)*(BN$3&gt;=CapexMonth) * (BN$3&lt;=DeprecStop)* ((BN$3-CapexMonth+1)*-DeprecExp) )</f>
        <v>0</v>
      </c>
      <c r="BO25" s="175" cm="1">
        <f t="array" ref="BO25">SUMPRODUCT( (CapexCategory=$C25)*(BO$3&gt;=CapexMonth) * (BO$3&lt;=DeprecStop)* ((BO$3-CapexMonth+1)*-DeprecExp) )</f>
        <v>0</v>
      </c>
      <c r="BP25" s="175" cm="1">
        <f t="array" ref="BP25">SUMPRODUCT( (CapexCategory=$C25)*(BP$3&gt;=CapexMonth) * (BP$3&lt;=DeprecStop)* ((BP$3-CapexMonth+1)*-DeprecExp) )</f>
        <v>0</v>
      </c>
      <c r="BQ25" s="175" cm="1">
        <f t="array" ref="BQ25">SUMPRODUCT( (CapexCategory=$C25)*(BQ$3&gt;=CapexMonth) * (BQ$3&lt;=DeprecStop)* ((BQ$3-CapexMonth+1)*-DeprecExp) )</f>
        <v>0</v>
      </c>
      <c r="BR25" s="176" cm="1">
        <f t="array" ref="BR25">SUMPRODUCT( (CapexCategory=$C25)*(BR$3&gt;=CapexMonth) * (BR$3&lt;=DeprecStop)* ((BR$3-CapexMonth+1)*-DeprecExp) )</f>
        <v>0</v>
      </c>
    </row>
    <row r="26" spans="1:70" ht="13.2" x14ac:dyDescent="0.3">
      <c r="C26" s="111" t="s">
        <v>98</v>
      </c>
      <c r="D26" s="14"/>
      <c r="E26" s="112">
        <f t="shared" ref="E26" si="22">V26</f>
        <v>0</v>
      </c>
      <c r="F26" s="112">
        <f t="shared" ref="F26" si="23">AH26</f>
        <v>0</v>
      </c>
      <c r="G26" s="112">
        <f t="shared" ref="G26" si="24">AT26</f>
        <v>0</v>
      </c>
      <c r="H26" s="112">
        <f t="shared" ref="H26" si="25">BF26</f>
        <v>0</v>
      </c>
      <c r="I26" s="112">
        <f t="shared" ref="I26" si="26">BR26</f>
        <v>0</v>
      </c>
      <c r="J26" s="129"/>
      <c r="K26" s="99" cm="1">
        <f t="array" ref="K26">SUMPRODUCT( ((ISBLANK(CapexCategory) + (CapexCategory="Other"))&gt;0) *(K$3&gt;=CapexMonth) * (K$3&lt;=DeprecStop)* ((K$3-CapexMonth+1)*-DeprecExp) )</f>
        <v>0</v>
      </c>
      <c r="L26" s="99" cm="1">
        <f t="array" ref="L26">SUMPRODUCT( ((ISBLANK(CapexCategory) + (CapexCategory="Other"))&gt;0) *(L$3&gt;=CapexMonth) * (L$3&lt;=DeprecStop)* ((L$3-CapexMonth+1)*-DeprecExp) )</f>
        <v>0</v>
      </c>
      <c r="M26" s="99" cm="1">
        <f t="array" ref="M26">SUMPRODUCT( ((ISBLANK(CapexCategory) + (CapexCategory="Other"))&gt;0) *(M$3&gt;=CapexMonth) * (M$3&lt;=DeprecStop)* ((M$3-CapexMonth+1)*-DeprecExp) )</f>
        <v>0</v>
      </c>
      <c r="N26" s="99" cm="1">
        <f t="array" ref="N26">SUMPRODUCT( ((ISBLANK(CapexCategory) + (CapexCategory="Other"))&gt;0) *(N$3&gt;=CapexMonth) * (N$3&lt;=DeprecStop)* ((N$3-CapexMonth+1)*-DeprecExp) )</f>
        <v>0</v>
      </c>
      <c r="O26" s="99" cm="1">
        <f t="array" ref="O26">SUMPRODUCT( ((ISBLANK(CapexCategory) + (CapexCategory="Other"))&gt;0) *(O$3&gt;=CapexMonth) * (O$3&lt;=DeprecStop)* ((O$3-CapexMonth+1)*-DeprecExp) )</f>
        <v>0</v>
      </c>
      <c r="P26" s="99" cm="1">
        <f t="array" ref="P26">SUMPRODUCT( ((ISBLANK(CapexCategory) + (CapexCategory="Other"))&gt;0) *(P$3&gt;=CapexMonth) * (P$3&lt;=DeprecStop)* ((P$3-CapexMonth+1)*-DeprecExp) )</f>
        <v>0</v>
      </c>
      <c r="Q26" s="99" cm="1">
        <f t="array" ref="Q26">SUMPRODUCT( ((ISBLANK(CapexCategory) + (CapexCategory="Other"))&gt;0) *(Q$3&gt;=CapexMonth) * (Q$3&lt;=DeprecStop)* ((Q$3-CapexMonth+1)*-DeprecExp) )</f>
        <v>0</v>
      </c>
      <c r="R26" s="99" cm="1">
        <f t="array" ref="R26">SUMPRODUCT( ((ISBLANK(CapexCategory) + (CapexCategory="Other"))&gt;0) *(R$3&gt;=CapexMonth) * (R$3&lt;=DeprecStop)* ((R$3-CapexMonth+1)*-DeprecExp) )</f>
        <v>0</v>
      </c>
      <c r="S26" s="99" cm="1">
        <f t="array" ref="S26">SUMPRODUCT( ((ISBLANK(CapexCategory) + (CapexCategory="Other"))&gt;0) *(S$3&gt;=CapexMonth) * (S$3&lt;=DeprecStop)* ((S$3-CapexMonth+1)*-DeprecExp) )</f>
        <v>0</v>
      </c>
      <c r="T26" s="99" cm="1">
        <f t="array" ref="T26">SUMPRODUCT( ((ISBLANK(CapexCategory) + (CapexCategory="Other"))&gt;0) *(T$3&gt;=CapexMonth) * (T$3&lt;=DeprecStop)* ((T$3-CapexMonth+1)*-DeprecExp) )</f>
        <v>0</v>
      </c>
      <c r="U26" s="99" cm="1">
        <f t="array" ref="U26">SUMPRODUCT( ((ISBLANK(CapexCategory) + (CapexCategory="Other"))&gt;0) *(U$3&gt;=CapexMonth) * (U$3&lt;=DeprecStop)* ((U$3-CapexMonth+1)*-DeprecExp) )</f>
        <v>0</v>
      </c>
      <c r="V26" s="112" cm="1">
        <f t="array" ref="V26">SUMPRODUCT( ((ISBLANK(CapexCategory) + (CapexCategory="Other"))&gt;0) *(V$3&gt;=CapexMonth) * (V$3&lt;=DeprecStop)* ((V$3-CapexMonth+1)*-DeprecExp) )</f>
        <v>0</v>
      </c>
      <c r="W26" s="99" cm="1">
        <f t="array" ref="W26">SUMPRODUCT( ((ISBLANK(CapexCategory) + (CapexCategory="Other"))&gt;0) *(W$3&gt;=CapexMonth) * (W$3&lt;=DeprecStop)* ((W$3-CapexMonth+1)*-DeprecExp) )</f>
        <v>0</v>
      </c>
      <c r="X26" s="99" cm="1">
        <f t="array" ref="X26">SUMPRODUCT( ((ISBLANK(CapexCategory) + (CapexCategory="Other"))&gt;0) *(X$3&gt;=CapexMonth) * (X$3&lt;=DeprecStop)* ((X$3-CapexMonth+1)*-DeprecExp) )</f>
        <v>0</v>
      </c>
      <c r="Y26" s="99" cm="1">
        <f t="array" ref="Y26">SUMPRODUCT( ((ISBLANK(CapexCategory) + (CapexCategory="Other"))&gt;0) *(Y$3&gt;=CapexMonth) * (Y$3&lt;=DeprecStop)* ((Y$3-CapexMonth+1)*-DeprecExp) )</f>
        <v>0</v>
      </c>
      <c r="Z26" s="99" cm="1">
        <f t="array" ref="Z26">SUMPRODUCT( ((ISBLANK(CapexCategory) + (CapexCategory="Other"))&gt;0) *(Z$3&gt;=CapexMonth) * (Z$3&lt;=DeprecStop)* ((Z$3-CapexMonth+1)*-DeprecExp) )</f>
        <v>0</v>
      </c>
      <c r="AA26" s="99" cm="1">
        <f t="array" ref="AA26">SUMPRODUCT( ((ISBLANK(CapexCategory) + (CapexCategory="Other"))&gt;0) *(AA$3&gt;=CapexMonth) * (AA$3&lt;=DeprecStop)* ((AA$3-CapexMonth+1)*-DeprecExp) )</f>
        <v>0</v>
      </c>
      <c r="AB26" s="99" cm="1">
        <f t="array" ref="AB26">SUMPRODUCT( ((ISBLANK(CapexCategory) + (CapexCategory="Other"))&gt;0) *(AB$3&gt;=CapexMonth) * (AB$3&lt;=DeprecStop)* ((AB$3-CapexMonth+1)*-DeprecExp) )</f>
        <v>0</v>
      </c>
      <c r="AC26" s="99" cm="1">
        <f t="array" ref="AC26">SUMPRODUCT( ((ISBLANK(CapexCategory) + (CapexCategory="Other"))&gt;0) *(AC$3&gt;=CapexMonth) * (AC$3&lt;=DeprecStop)* ((AC$3-CapexMonth+1)*-DeprecExp) )</f>
        <v>0</v>
      </c>
      <c r="AD26" s="99" cm="1">
        <f t="array" ref="AD26">SUMPRODUCT( ((ISBLANK(CapexCategory) + (CapexCategory="Other"))&gt;0) *(AD$3&gt;=CapexMonth) * (AD$3&lt;=DeprecStop)* ((AD$3-CapexMonth+1)*-DeprecExp) )</f>
        <v>0</v>
      </c>
      <c r="AE26" s="99" cm="1">
        <f t="array" ref="AE26">SUMPRODUCT( ((ISBLANK(CapexCategory) + (CapexCategory="Other"))&gt;0) *(AE$3&gt;=CapexMonth) * (AE$3&lt;=DeprecStop)* ((AE$3-CapexMonth+1)*-DeprecExp) )</f>
        <v>0</v>
      </c>
      <c r="AF26" s="99" cm="1">
        <f t="array" ref="AF26">SUMPRODUCT( ((ISBLANK(CapexCategory) + (CapexCategory="Other"))&gt;0) *(AF$3&gt;=CapexMonth) * (AF$3&lt;=DeprecStop)* ((AF$3-CapexMonth+1)*-DeprecExp) )</f>
        <v>0</v>
      </c>
      <c r="AG26" s="99" cm="1">
        <f t="array" ref="AG26">SUMPRODUCT( ((ISBLANK(CapexCategory) + (CapexCategory="Other"))&gt;0) *(AG$3&gt;=CapexMonth) * (AG$3&lt;=DeprecStop)* ((AG$3-CapexMonth+1)*-DeprecExp) )</f>
        <v>0</v>
      </c>
      <c r="AH26" s="112" cm="1">
        <f t="array" ref="AH26">SUMPRODUCT( ((ISBLANK(CapexCategory) + (CapexCategory="Other"))&gt;0) *(AH$3&gt;=CapexMonth) * (AH$3&lt;=DeprecStop)* ((AH$3-CapexMonth+1)*-DeprecExp) )</f>
        <v>0</v>
      </c>
      <c r="AI26" s="99" cm="1">
        <f t="array" ref="AI26">SUMPRODUCT( ((ISBLANK(CapexCategory) + (CapexCategory="Other"))&gt;0) *(AI$3&gt;=CapexMonth) * (AI$3&lt;=DeprecStop)* ((AI$3-CapexMonth+1)*-DeprecExp) )</f>
        <v>0</v>
      </c>
      <c r="AJ26" s="99" cm="1">
        <f t="array" ref="AJ26">SUMPRODUCT( ((ISBLANK(CapexCategory) + (CapexCategory="Other"))&gt;0) *(AJ$3&gt;=CapexMonth) * (AJ$3&lt;=DeprecStop)* ((AJ$3-CapexMonth+1)*-DeprecExp) )</f>
        <v>0</v>
      </c>
      <c r="AK26" s="99" cm="1">
        <f t="array" ref="AK26">SUMPRODUCT( ((ISBLANK(CapexCategory) + (CapexCategory="Other"))&gt;0) *(AK$3&gt;=CapexMonth) * (AK$3&lt;=DeprecStop)* ((AK$3-CapexMonth+1)*-DeprecExp) )</f>
        <v>0</v>
      </c>
      <c r="AL26" s="99" cm="1">
        <f t="array" ref="AL26">SUMPRODUCT( ((ISBLANK(CapexCategory) + (CapexCategory="Other"))&gt;0) *(AL$3&gt;=CapexMonth) * (AL$3&lt;=DeprecStop)* ((AL$3-CapexMonth+1)*-DeprecExp) )</f>
        <v>0</v>
      </c>
      <c r="AM26" s="99" cm="1">
        <f t="array" ref="AM26">SUMPRODUCT( ((ISBLANK(CapexCategory) + (CapexCategory="Other"))&gt;0) *(AM$3&gt;=CapexMonth) * (AM$3&lt;=DeprecStop)* ((AM$3-CapexMonth+1)*-DeprecExp) )</f>
        <v>0</v>
      </c>
      <c r="AN26" s="99" cm="1">
        <f t="array" ref="AN26">SUMPRODUCT( ((ISBLANK(CapexCategory) + (CapexCategory="Other"))&gt;0) *(AN$3&gt;=CapexMonth) * (AN$3&lt;=DeprecStop)* ((AN$3-CapexMonth+1)*-DeprecExp) )</f>
        <v>0</v>
      </c>
      <c r="AO26" s="99" cm="1">
        <f t="array" ref="AO26">SUMPRODUCT( ((ISBLANK(CapexCategory) + (CapexCategory="Other"))&gt;0) *(AO$3&gt;=CapexMonth) * (AO$3&lt;=DeprecStop)* ((AO$3-CapexMonth+1)*-DeprecExp) )</f>
        <v>0</v>
      </c>
      <c r="AP26" s="99" cm="1">
        <f t="array" ref="AP26">SUMPRODUCT( ((ISBLANK(CapexCategory) + (CapexCategory="Other"))&gt;0) *(AP$3&gt;=CapexMonth) * (AP$3&lt;=DeprecStop)* ((AP$3-CapexMonth+1)*-DeprecExp) )</f>
        <v>0</v>
      </c>
      <c r="AQ26" s="99" cm="1">
        <f t="array" ref="AQ26">SUMPRODUCT( ((ISBLANK(CapexCategory) + (CapexCategory="Other"))&gt;0) *(AQ$3&gt;=CapexMonth) * (AQ$3&lt;=DeprecStop)* ((AQ$3-CapexMonth+1)*-DeprecExp) )</f>
        <v>0</v>
      </c>
      <c r="AR26" s="99" cm="1">
        <f t="array" ref="AR26">SUMPRODUCT( ((ISBLANK(CapexCategory) + (CapexCategory="Other"))&gt;0) *(AR$3&gt;=CapexMonth) * (AR$3&lt;=DeprecStop)* ((AR$3-CapexMonth+1)*-DeprecExp) )</f>
        <v>0</v>
      </c>
      <c r="AS26" s="99" cm="1">
        <f t="array" ref="AS26">SUMPRODUCT( ((ISBLANK(CapexCategory) + (CapexCategory="Other"))&gt;0) *(AS$3&gt;=CapexMonth) * (AS$3&lt;=DeprecStop)* ((AS$3-CapexMonth+1)*-DeprecExp) )</f>
        <v>0</v>
      </c>
      <c r="AT26" s="112" cm="1">
        <f t="array" ref="AT26">SUMPRODUCT( ((ISBLANK(CapexCategory) + (CapexCategory="Other"))&gt;0) *(AT$3&gt;=CapexMonth) * (AT$3&lt;=DeprecStop)* ((AT$3-CapexMonth+1)*-DeprecExp) )</f>
        <v>0</v>
      </c>
      <c r="AU26" s="99" cm="1">
        <f t="array" ref="AU26">SUMPRODUCT( ((ISBLANK(CapexCategory) + (CapexCategory="Other"))&gt;0) *(AU$3&gt;=CapexMonth) * (AU$3&lt;=DeprecStop)* ((AU$3-CapexMonth+1)*-DeprecExp) )</f>
        <v>0</v>
      </c>
      <c r="AV26" s="99" cm="1">
        <f t="array" ref="AV26">SUMPRODUCT( ((ISBLANK(CapexCategory) + (CapexCategory="Other"))&gt;0) *(AV$3&gt;=CapexMonth) * (AV$3&lt;=DeprecStop)* ((AV$3-CapexMonth+1)*-DeprecExp) )</f>
        <v>0</v>
      </c>
      <c r="AW26" s="99" cm="1">
        <f t="array" ref="AW26">SUMPRODUCT( ((ISBLANK(CapexCategory) + (CapexCategory="Other"))&gt;0) *(AW$3&gt;=CapexMonth) * (AW$3&lt;=DeprecStop)* ((AW$3-CapexMonth+1)*-DeprecExp) )</f>
        <v>0</v>
      </c>
      <c r="AX26" s="99" cm="1">
        <f t="array" ref="AX26">SUMPRODUCT( ((ISBLANK(CapexCategory) + (CapexCategory="Other"))&gt;0) *(AX$3&gt;=CapexMonth) * (AX$3&lt;=DeprecStop)* ((AX$3-CapexMonth+1)*-DeprecExp) )</f>
        <v>0</v>
      </c>
      <c r="AY26" s="99" cm="1">
        <f t="array" ref="AY26">SUMPRODUCT( ((ISBLANK(CapexCategory) + (CapexCategory="Other"))&gt;0) *(AY$3&gt;=CapexMonth) * (AY$3&lt;=DeprecStop)* ((AY$3-CapexMonth+1)*-DeprecExp) )</f>
        <v>0</v>
      </c>
      <c r="AZ26" s="99" cm="1">
        <f t="array" ref="AZ26">SUMPRODUCT( ((ISBLANK(CapexCategory) + (CapexCategory="Other"))&gt;0) *(AZ$3&gt;=CapexMonth) * (AZ$3&lt;=DeprecStop)* ((AZ$3-CapexMonth+1)*-DeprecExp) )</f>
        <v>0</v>
      </c>
      <c r="BA26" s="99" cm="1">
        <f t="array" ref="BA26">SUMPRODUCT( ((ISBLANK(CapexCategory) + (CapexCategory="Other"))&gt;0) *(BA$3&gt;=CapexMonth) * (BA$3&lt;=DeprecStop)* ((BA$3-CapexMonth+1)*-DeprecExp) )</f>
        <v>0</v>
      </c>
      <c r="BB26" s="99" cm="1">
        <f t="array" ref="BB26">SUMPRODUCT( ((ISBLANK(CapexCategory) + (CapexCategory="Other"))&gt;0) *(BB$3&gt;=CapexMonth) * (BB$3&lt;=DeprecStop)* ((BB$3-CapexMonth+1)*-DeprecExp) )</f>
        <v>0</v>
      </c>
      <c r="BC26" s="99" cm="1">
        <f t="array" ref="BC26">SUMPRODUCT( ((ISBLANK(CapexCategory) + (CapexCategory="Other"))&gt;0) *(BC$3&gt;=CapexMonth) * (BC$3&lt;=DeprecStop)* ((BC$3-CapexMonth+1)*-DeprecExp) )</f>
        <v>0</v>
      </c>
      <c r="BD26" s="99" cm="1">
        <f t="array" ref="BD26">SUMPRODUCT( ((ISBLANK(CapexCategory) + (CapexCategory="Other"))&gt;0) *(BD$3&gt;=CapexMonth) * (BD$3&lt;=DeprecStop)* ((BD$3-CapexMonth+1)*-DeprecExp) )</f>
        <v>0</v>
      </c>
      <c r="BE26" s="99" cm="1">
        <f t="array" ref="BE26">SUMPRODUCT( ((ISBLANK(CapexCategory) + (CapexCategory="Other"))&gt;0) *(BE$3&gt;=CapexMonth) * (BE$3&lt;=DeprecStop)* ((BE$3-CapexMonth+1)*-DeprecExp) )</f>
        <v>0</v>
      </c>
      <c r="BF26" s="112" cm="1">
        <f t="array" ref="BF26">SUMPRODUCT( ((ISBLANK(CapexCategory) + (CapexCategory="Other"))&gt;0) *(BF$3&gt;=CapexMonth) * (BF$3&lt;=DeprecStop)* ((BF$3-CapexMonth+1)*-DeprecExp) )</f>
        <v>0</v>
      </c>
      <c r="BG26" s="99" cm="1">
        <f t="array" ref="BG26">SUMPRODUCT( ((ISBLANK(CapexCategory) + (CapexCategory="Other"))&gt;0) *(BG$3&gt;=CapexMonth) * (BG$3&lt;=DeprecStop)* ((BG$3-CapexMonth+1)*-DeprecExp) )</f>
        <v>0</v>
      </c>
      <c r="BH26" s="99" cm="1">
        <f t="array" ref="BH26">SUMPRODUCT( ((ISBLANK(CapexCategory) + (CapexCategory="Other"))&gt;0) *(BH$3&gt;=CapexMonth) * (BH$3&lt;=DeprecStop)* ((BH$3-CapexMonth+1)*-DeprecExp) )</f>
        <v>0</v>
      </c>
      <c r="BI26" s="99" cm="1">
        <f t="array" ref="BI26">SUMPRODUCT( ((ISBLANK(CapexCategory) + (CapexCategory="Other"))&gt;0) *(BI$3&gt;=CapexMonth) * (BI$3&lt;=DeprecStop)* ((BI$3-CapexMonth+1)*-DeprecExp) )</f>
        <v>0</v>
      </c>
      <c r="BJ26" s="99" cm="1">
        <f t="array" ref="BJ26">SUMPRODUCT( ((ISBLANK(CapexCategory) + (CapexCategory="Other"))&gt;0) *(BJ$3&gt;=CapexMonth) * (BJ$3&lt;=DeprecStop)* ((BJ$3-CapexMonth+1)*-DeprecExp) )</f>
        <v>0</v>
      </c>
      <c r="BK26" s="99" cm="1">
        <f t="array" ref="BK26">SUMPRODUCT( ((ISBLANK(CapexCategory) + (CapexCategory="Other"))&gt;0) *(BK$3&gt;=CapexMonth) * (BK$3&lt;=DeprecStop)* ((BK$3-CapexMonth+1)*-DeprecExp) )</f>
        <v>0</v>
      </c>
      <c r="BL26" s="99" cm="1">
        <f t="array" ref="BL26">SUMPRODUCT( ((ISBLANK(CapexCategory) + (CapexCategory="Other"))&gt;0) *(BL$3&gt;=CapexMonth) * (BL$3&lt;=DeprecStop)* ((BL$3-CapexMonth+1)*-DeprecExp) )</f>
        <v>0</v>
      </c>
      <c r="BM26" s="99" cm="1">
        <f t="array" ref="BM26">SUMPRODUCT( ((ISBLANK(CapexCategory) + (CapexCategory="Other"))&gt;0) *(BM$3&gt;=CapexMonth) * (BM$3&lt;=DeprecStop)* ((BM$3-CapexMonth+1)*-DeprecExp) )</f>
        <v>0</v>
      </c>
      <c r="BN26" s="99" cm="1">
        <f t="array" ref="BN26">SUMPRODUCT( ((ISBLANK(CapexCategory) + (CapexCategory="Other"))&gt;0) *(BN$3&gt;=CapexMonth) * (BN$3&lt;=DeprecStop)* ((BN$3-CapexMonth+1)*-DeprecExp) )</f>
        <v>0</v>
      </c>
      <c r="BO26" s="99" cm="1">
        <f t="array" ref="BO26">SUMPRODUCT( ((ISBLANK(CapexCategory) + (CapexCategory="Other"))&gt;0) *(BO$3&gt;=CapexMonth) * (BO$3&lt;=DeprecStop)* ((BO$3-CapexMonth+1)*-DeprecExp) )</f>
        <v>0</v>
      </c>
      <c r="BP26" s="99" cm="1">
        <f t="array" ref="BP26">SUMPRODUCT( ((ISBLANK(CapexCategory) + (CapexCategory="Other"))&gt;0) *(BP$3&gt;=CapexMonth) * (BP$3&lt;=DeprecStop)* ((BP$3-CapexMonth+1)*-DeprecExp) )</f>
        <v>0</v>
      </c>
      <c r="BQ26" s="99" cm="1">
        <f t="array" ref="BQ26">SUMPRODUCT( ((ISBLANK(CapexCategory) + (CapexCategory="Other"))&gt;0) *(BQ$3&gt;=CapexMonth) * (BQ$3&lt;=DeprecStop)* ((BQ$3-CapexMonth+1)*-DeprecExp) )</f>
        <v>0</v>
      </c>
      <c r="BR26" s="112" cm="1">
        <f t="array" ref="BR26">SUMPRODUCT( ((ISBLANK(CapexCategory) + (CapexCategory="Other"))&gt;0) *(BR$3&gt;=CapexMonth) * (BR$3&lt;=DeprecStop)* ((BR$3-CapexMonth+1)*-DeprecExp) )</f>
        <v>0</v>
      </c>
    </row>
    <row r="27" spans="1:70" s="49" customFormat="1" ht="13.2" x14ac:dyDescent="0.3">
      <c r="A27" s="37"/>
      <c r="B27" s="13"/>
      <c r="C27" s="132" t="s">
        <v>99</v>
      </c>
      <c r="D27" s="77"/>
      <c r="E27" s="96">
        <f>V27</f>
        <v>-50</v>
      </c>
      <c r="F27" s="96">
        <f>AH27</f>
        <v>0</v>
      </c>
      <c r="G27" s="96">
        <f>AT27</f>
        <v>0</v>
      </c>
      <c r="H27" s="96">
        <f>BF27</f>
        <v>0</v>
      </c>
      <c r="I27" s="96">
        <f>BR27</f>
        <v>0</v>
      </c>
      <c r="J27" s="129"/>
      <c r="K27" s="97">
        <f t="shared" ref="K27:BR27" si="27">SUM(K21:K26)</f>
        <v>-0.4</v>
      </c>
      <c r="L27" s="97">
        <f t="shared" si="27"/>
        <v>-0.8</v>
      </c>
      <c r="M27" s="97">
        <f t="shared" si="27"/>
        <v>-1.2000000000000002</v>
      </c>
      <c r="N27" s="97">
        <f t="shared" si="27"/>
        <v>-1.6</v>
      </c>
      <c r="O27" s="97">
        <f t="shared" si="27"/>
        <v>-2</v>
      </c>
      <c r="P27" s="97">
        <f t="shared" si="27"/>
        <v>-9.5428571428571445</v>
      </c>
      <c r="Q27" s="97">
        <f t="shared" si="27"/>
        <v>-17.085714285714285</v>
      </c>
      <c r="R27" s="97">
        <f t="shared" si="27"/>
        <v>-24.62857142857143</v>
      </c>
      <c r="S27" s="97">
        <f t="shared" si="27"/>
        <v>-32.171428571428571</v>
      </c>
      <c r="T27" s="97">
        <f t="shared" si="27"/>
        <v>-39.714285714285715</v>
      </c>
      <c r="U27" s="97">
        <f t="shared" si="27"/>
        <v>-42.857142857142861</v>
      </c>
      <c r="V27" s="96">
        <f t="shared" si="27"/>
        <v>-50</v>
      </c>
      <c r="W27" s="97">
        <f t="shared" si="27"/>
        <v>-57.142857142857146</v>
      </c>
      <c r="X27" s="97">
        <f t="shared" si="27"/>
        <v>-64.285714285714292</v>
      </c>
      <c r="Y27" s="97">
        <f t="shared" si="27"/>
        <v>-71.428571428571431</v>
      </c>
      <c r="Z27" s="97">
        <f t="shared" si="27"/>
        <v>-78.571428571428569</v>
      </c>
      <c r="AA27" s="97">
        <f t="shared" si="27"/>
        <v>-85.714285714285722</v>
      </c>
      <c r="AB27" s="97">
        <f t="shared" si="27"/>
        <v>-92.857142857142861</v>
      </c>
      <c r="AC27" s="97">
        <f t="shared" si="27"/>
        <v>-100</v>
      </c>
      <c r="AD27" s="97">
        <f t="shared" si="27"/>
        <v>0</v>
      </c>
      <c r="AE27" s="97">
        <f t="shared" si="27"/>
        <v>0</v>
      </c>
      <c r="AF27" s="97">
        <f t="shared" si="27"/>
        <v>0</v>
      </c>
      <c r="AG27" s="97">
        <f t="shared" si="27"/>
        <v>0</v>
      </c>
      <c r="AH27" s="96">
        <f t="shared" si="27"/>
        <v>0</v>
      </c>
      <c r="AI27" s="97">
        <f t="shared" si="27"/>
        <v>0</v>
      </c>
      <c r="AJ27" s="97">
        <f t="shared" si="27"/>
        <v>0</v>
      </c>
      <c r="AK27" s="97">
        <f t="shared" si="27"/>
        <v>0</v>
      </c>
      <c r="AL27" s="97">
        <f t="shared" si="27"/>
        <v>0</v>
      </c>
      <c r="AM27" s="97">
        <f t="shared" si="27"/>
        <v>0</v>
      </c>
      <c r="AN27" s="97">
        <f t="shared" si="27"/>
        <v>0</v>
      </c>
      <c r="AO27" s="97">
        <f t="shared" si="27"/>
        <v>0</v>
      </c>
      <c r="AP27" s="97">
        <f t="shared" si="27"/>
        <v>0</v>
      </c>
      <c r="AQ27" s="97">
        <f t="shared" si="27"/>
        <v>0</v>
      </c>
      <c r="AR27" s="97">
        <f t="shared" si="27"/>
        <v>0</v>
      </c>
      <c r="AS27" s="97">
        <f t="shared" si="27"/>
        <v>0</v>
      </c>
      <c r="AT27" s="96">
        <f t="shared" si="27"/>
        <v>0</v>
      </c>
      <c r="AU27" s="97">
        <f t="shared" si="27"/>
        <v>0</v>
      </c>
      <c r="AV27" s="97">
        <f t="shared" si="27"/>
        <v>0</v>
      </c>
      <c r="AW27" s="97">
        <f t="shared" si="27"/>
        <v>0</v>
      </c>
      <c r="AX27" s="97">
        <f t="shared" si="27"/>
        <v>0</v>
      </c>
      <c r="AY27" s="97">
        <f t="shared" si="27"/>
        <v>0</v>
      </c>
      <c r="AZ27" s="97">
        <f t="shared" si="27"/>
        <v>0</v>
      </c>
      <c r="BA27" s="97">
        <f t="shared" si="27"/>
        <v>0</v>
      </c>
      <c r="BB27" s="97">
        <f t="shared" si="27"/>
        <v>0</v>
      </c>
      <c r="BC27" s="97">
        <f t="shared" si="27"/>
        <v>0</v>
      </c>
      <c r="BD27" s="97">
        <f t="shared" si="27"/>
        <v>0</v>
      </c>
      <c r="BE27" s="97">
        <f t="shared" si="27"/>
        <v>0</v>
      </c>
      <c r="BF27" s="96">
        <f t="shared" si="27"/>
        <v>0</v>
      </c>
      <c r="BG27" s="97">
        <f t="shared" si="27"/>
        <v>0</v>
      </c>
      <c r="BH27" s="97">
        <f t="shared" si="27"/>
        <v>0</v>
      </c>
      <c r="BI27" s="97">
        <f t="shared" si="27"/>
        <v>0</v>
      </c>
      <c r="BJ27" s="97">
        <f t="shared" si="27"/>
        <v>0</v>
      </c>
      <c r="BK27" s="97">
        <f t="shared" si="27"/>
        <v>0</v>
      </c>
      <c r="BL27" s="97">
        <f t="shared" si="27"/>
        <v>0</v>
      </c>
      <c r="BM27" s="97">
        <f t="shared" si="27"/>
        <v>0</v>
      </c>
      <c r="BN27" s="97">
        <f t="shared" si="27"/>
        <v>0</v>
      </c>
      <c r="BO27" s="97">
        <f t="shared" si="27"/>
        <v>0</v>
      </c>
      <c r="BP27" s="97">
        <f t="shared" si="27"/>
        <v>0</v>
      </c>
      <c r="BQ27" s="97">
        <f t="shared" si="27"/>
        <v>0</v>
      </c>
      <c r="BR27" s="96">
        <f t="shared" si="27"/>
        <v>0</v>
      </c>
    </row>
    <row r="28" spans="1:70" ht="13.2" hidden="1" x14ac:dyDescent="0.3">
      <c r="E28" s="113"/>
      <c r="F28" s="113"/>
      <c r="G28" s="113"/>
      <c r="H28" s="113"/>
      <c r="I28" s="113"/>
      <c r="J28" s="129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</row>
    <row r="29" spans="1:70" ht="13.2" hidden="1" x14ac:dyDescent="0.3">
      <c r="C29" s="61" t="s">
        <v>93</v>
      </c>
      <c r="D29" s="14"/>
      <c r="E29" s="176">
        <f t="shared" ref="E29:E35" si="28">V29</f>
        <v>0</v>
      </c>
      <c r="F29" s="176">
        <f t="shared" ref="F29:F35" si="29">AH29</f>
        <v>0</v>
      </c>
      <c r="G29" s="176">
        <f t="shared" ref="G29:G35" si="30">AT29</f>
        <v>0</v>
      </c>
      <c r="H29" s="176">
        <f t="shared" ref="H29:H35" si="31">BF29</f>
        <v>0</v>
      </c>
      <c r="I29" s="176">
        <f t="shared" ref="I29:I35" si="32">BR29</f>
        <v>0</v>
      </c>
      <c r="J29" s="129"/>
      <c r="K29" s="130" cm="1">
        <f t="array" ref="K29">SUMPRODUCT(    (CapexCategory=$C29)*  (K$3&gt;=CapexMonth) *  (K$3&lt;=DeprecStop)  * CapexAmount)</f>
        <v>0</v>
      </c>
      <c r="L29" s="130" cm="1">
        <f t="array" ref="L29">SUMPRODUCT(    (CapexCategory=$C29)*  (L$3&gt;=CapexMonth) * CapexAmount)</f>
        <v>0</v>
      </c>
      <c r="M29" s="130" cm="1">
        <f t="array" ref="M29">SUMPRODUCT(    (CapexCategory=$C29)*  (M$3&gt;=CapexMonth) * CapexAmount)</f>
        <v>0</v>
      </c>
      <c r="N29" s="130" cm="1">
        <f t="array" ref="N29">SUMPRODUCT(    (CapexCategory=$C29)*  (N$3&gt;=CapexMonth) * CapexAmount)</f>
        <v>0</v>
      </c>
      <c r="O29" s="130" cm="1">
        <f t="array" ref="O29">SUMPRODUCT(    (CapexCategory=$C29)*  (O$3&gt;=CapexMonth) * CapexAmount)</f>
        <v>0</v>
      </c>
      <c r="P29" s="130" cm="1">
        <f t="array" ref="P29">SUMPRODUCT(    (CapexCategory=$C29)*  (P$3&gt;=CapexMonth) * CapexAmount)</f>
        <v>0</v>
      </c>
      <c r="Q29" s="130" cm="1">
        <f t="array" ref="Q29">SUMPRODUCT(    (CapexCategory=$C29)*  (Q$3&gt;=CapexMonth) * CapexAmount)</f>
        <v>0</v>
      </c>
      <c r="R29" s="130" cm="1">
        <f t="array" ref="R29">SUMPRODUCT(    (CapexCategory=$C29)*  (R$3&gt;=CapexMonth) * CapexAmount)</f>
        <v>0</v>
      </c>
      <c r="S29" s="130" cm="1">
        <f t="array" ref="S29">SUMPRODUCT(    (CapexCategory=$C29)*  (S$3&gt;=CapexMonth) * CapexAmount)</f>
        <v>0</v>
      </c>
      <c r="T29" s="130" cm="1">
        <f t="array" ref="T29">SUMPRODUCT(    (CapexCategory=$C29)*  (T$3&gt;=CapexMonth) * CapexAmount)</f>
        <v>0</v>
      </c>
      <c r="U29" s="130" cm="1">
        <f t="array" ref="U29">SUMPRODUCT(    (CapexCategory=$C29)*  (U$3&gt;=CapexMonth) * CapexAmount)</f>
        <v>0</v>
      </c>
      <c r="V29" s="128" cm="1">
        <f t="array" ref="V29">SUMPRODUCT(    (CapexCategory=$C29)*  (V$3&gt;=CapexMonth) * CapexAmount)</f>
        <v>0</v>
      </c>
      <c r="W29" s="130" cm="1">
        <f t="array" ref="W29">SUMPRODUCT(    (CapexCategory=$C29)*  (W$3&gt;=CapexMonth) * CapexAmount)</f>
        <v>0</v>
      </c>
      <c r="X29" s="130" cm="1">
        <f t="array" ref="X29">SUMPRODUCT(    (CapexCategory=$C29)*  (X$3&gt;=CapexMonth) * CapexAmount)</f>
        <v>0</v>
      </c>
      <c r="Y29" s="130" cm="1">
        <f t="array" ref="Y29">SUMPRODUCT(    (CapexCategory=$C29)*  (Y$3&gt;=CapexMonth) * CapexAmount)</f>
        <v>0</v>
      </c>
      <c r="Z29" s="130" cm="1">
        <f t="array" ref="Z29">SUMPRODUCT(    (CapexCategory=$C29)*  (Z$3&gt;=CapexMonth) * CapexAmount)</f>
        <v>0</v>
      </c>
      <c r="AA29" s="130" cm="1">
        <f t="array" ref="AA29">SUMPRODUCT(    (CapexCategory=$C29)*  (AA$3&gt;=CapexMonth) * CapexAmount)</f>
        <v>0</v>
      </c>
      <c r="AB29" s="130" cm="1">
        <f t="array" ref="AB29">SUMPRODUCT(    (CapexCategory=$C29)*  (AB$3&gt;=CapexMonth) * CapexAmount)</f>
        <v>0</v>
      </c>
      <c r="AC29" s="130" cm="1">
        <f t="array" ref="AC29">SUMPRODUCT(    (CapexCategory=$C29)*  (AC$3&gt;=CapexMonth) * CapexAmount)</f>
        <v>0</v>
      </c>
      <c r="AD29" s="130" cm="1">
        <f t="array" ref="AD29">SUMPRODUCT(    (CapexCategory=$C29)*  (AD$3&gt;=CapexMonth) * CapexAmount)</f>
        <v>0</v>
      </c>
      <c r="AE29" s="130" cm="1">
        <f t="array" ref="AE29">SUMPRODUCT(    (CapexCategory=$C29)*  (AE$3&gt;=CapexMonth) * CapexAmount)</f>
        <v>0</v>
      </c>
      <c r="AF29" s="130" cm="1">
        <f t="array" ref="AF29">SUMPRODUCT(    (CapexCategory=$C29)*  (AF$3&gt;=CapexMonth) * CapexAmount)</f>
        <v>0</v>
      </c>
      <c r="AG29" s="130" cm="1">
        <f t="array" ref="AG29">SUMPRODUCT(    (CapexCategory=$C29)*  (AG$3&gt;=CapexMonth) * CapexAmount)</f>
        <v>0</v>
      </c>
      <c r="AH29" s="128" cm="1">
        <f t="array" ref="AH29">SUMPRODUCT(    (CapexCategory=$C29)*  (AH$3&gt;=CapexMonth) * CapexAmount)</f>
        <v>0</v>
      </c>
      <c r="AI29" s="130" cm="1">
        <f t="array" ref="AI29">SUMPRODUCT(    (CapexCategory=$C29)*  (AI$3&gt;=CapexMonth) * CapexAmount)</f>
        <v>0</v>
      </c>
      <c r="AJ29" s="130" cm="1">
        <f t="array" ref="AJ29">SUMPRODUCT(    (CapexCategory=$C29)*  (AJ$3&gt;=CapexMonth) * CapexAmount)</f>
        <v>0</v>
      </c>
      <c r="AK29" s="130" cm="1">
        <f t="array" ref="AK29">SUMPRODUCT(    (CapexCategory=$C29)*  (AK$3&gt;=CapexMonth) * CapexAmount)</f>
        <v>0</v>
      </c>
      <c r="AL29" s="130" cm="1">
        <f t="array" ref="AL29">SUMPRODUCT(    (CapexCategory=$C29)*  (AL$3&gt;=CapexMonth) * CapexAmount)</f>
        <v>0</v>
      </c>
      <c r="AM29" s="130" cm="1">
        <f t="array" ref="AM29">SUMPRODUCT(    (CapexCategory=$C29)*  (AM$3&gt;=CapexMonth) * CapexAmount)</f>
        <v>0</v>
      </c>
      <c r="AN29" s="130" cm="1">
        <f t="array" ref="AN29">SUMPRODUCT(    (CapexCategory=$C29)*  (AN$3&gt;=CapexMonth) * CapexAmount)</f>
        <v>0</v>
      </c>
      <c r="AO29" s="130" cm="1">
        <f t="array" ref="AO29">SUMPRODUCT(    (CapexCategory=$C29)*  (AO$3&gt;=CapexMonth) * CapexAmount)</f>
        <v>0</v>
      </c>
      <c r="AP29" s="130" cm="1">
        <f t="array" ref="AP29">SUMPRODUCT(    (CapexCategory=$C29)*  (AP$3&gt;=CapexMonth) * CapexAmount)</f>
        <v>0</v>
      </c>
      <c r="AQ29" s="130" cm="1">
        <f t="array" ref="AQ29">SUMPRODUCT(    (CapexCategory=$C29)*  (AQ$3&gt;=CapexMonth) * CapexAmount)</f>
        <v>0</v>
      </c>
      <c r="AR29" s="130" cm="1">
        <f t="array" ref="AR29">SUMPRODUCT(    (CapexCategory=$C29)*  (AR$3&gt;=CapexMonth) * CapexAmount)</f>
        <v>0</v>
      </c>
      <c r="AS29" s="130" cm="1">
        <f t="array" ref="AS29">SUMPRODUCT(    (CapexCategory=$C29)*  (AS$3&gt;=CapexMonth) * CapexAmount)</f>
        <v>0</v>
      </c>
      <c r="AT29" s="128" cm="1">
        <f t="array" ref="AT29">SUMPRODUCT(    (CapexCategory=$C29)*  (AT$3&gt;=CapexMonth) * CapexAmount)</f>
        <v>0</v>
      </c>
      <c r="AU29" s="130" cm="1">
        <f t="array" ref="AU29">SUMPRODUCT(    (CapexCategory=$C29)*  (AU$3&gt;=CapexMonth) * CapexAmount)</f>
        <v>0</v>
      </c>
      <c r="AV29" s="130" cm="1">
        <f t="array" ref="AV29">SUMPRODUCT(    (CapexCategory=$C29)*  (AV$3&gt;=CapexMonth) * CapexAmount)</f>
        <v>0</v>
      </c>
      <c r="AW29" s="130" cm="1">
        <f t="array" ref="AW29">SUMPRODUCT(    (CapexCategory=$C29)*  (AW$3&gt;=CapexMonth) * CapexAmount)</f>
        <v>0</v>
      </c>
      <c r="AX29" s="130" cm="1">
        <f t="array" ref="AX29">SUMPRODUCT(    (CapexCategory=$C29)*  (AX$3&gt;=CapexMonth) * CapexAmount)</f>
        <v>0</v>
      </c>
      <c r="AY29" s="130" cm="1">
        <f t="array" ref="AY29">SUMPRODUCT(    (CapexCategory=$C29)*  (AY$3&gt;=CapexMonth) * CapexAmount)</f>
        <v>0</v>
      </c>
      <c r="AZ29" s="130" cm="1">
        <f t="array" ref="AZ29">SUMPRODUCT(    (CapexCategory=$C29)*  (AZ$3&gt;=CapexMonth) * CapexAmount)</f>
        <v>0</v>
      </c>
      <c r="BA29" s="130" cm="1">
        <f t="array" ref="BA29">SUMPRODUCT(    (CapexCategory=$C29)*  (BA$3&gt;=CapexMonth) * CapexAmount)</f>
        <v>0</v>
      </c>
      <c r="BB29" s="130" cm="1">
        <f t="array" ref="BB29">SUMPRODUCT(    (CapexCategory=$C29)*  (BB$3&gt;=CapexMonth) * CapexAmount)</f>
        <v>0</v>
      </c>
      <c r="BC29" s="130" cm="1">
        <f t="array" ref="BC29">SUMPRODUCT(    (CapexCategory=$C29)*  (BC$3&gt;=CapexMonth) * CapexAmount)</f>
        <v>0</v>
      </c>
      <c r="BD29" s="130" cm="1">
        <f t="array" ref="BD29">SUMPRODUCT(    (CapexCategory=$C29)*  (BD$3&gt;=CapexMonth) * CapexAmount)</f>
        <v>0</v>
      </c>
      <c r="BE29" s="130" cm="1">
        <f t="array" ref="BE29">SUMPRODUCT(    (CapexCategory=$C29)*  (BE$3&gt;=CapexMonth) * CapexAmount)</f>
        <v>0</v>
      </c>
      <c r="BF29" s="128" cm="1">
        <f t="array" ref="BF29">SUMPRODUCT(    (CapexCategory=$C29)*  (BF$3&gt;=CapexMonth) * CapexAmount)</f>
        <v>0</v>
      </c>
      <c r="BG29" s="130" cm="1">
        <f t="array" ref="BG29">SUMPRODUCT(    (CapexCategory=$C29)*  (BG$3&gt;=CapexMonth) * CapexAmount)</f>
        <v>0</v>
      </c>
      <c r="BH29" s="130" cm="1">
        <f t="array" ref="BH29">SUMPRODUCT(    (CapexCategory=$C29)*  (BH$3&gt;=CapexMonth) * CapexAmount)</f>
        <v>0</v>
      </c>
      <c r="BI29" s="130" cm="1">
        <f t="array" ref="BI29">SUMPRODUCT(    (CapexCategory=$C29)*  (BI$3&gt;=CapexMonth) * CapexAmount)</f>
        <v>0</v>
      </c>
      <c r="BJ29" s="130" cm="1">
        <f t="array" ref="BJ29">SUMPRODUCT(    (CapexCategory=$C29)*  (BJ$3&gt;=CapexMonth) * CapexAmount)</f>
        <v>0</v>
      </c>
      <c r="BK29" s="130" cm="1">
        <f t="array" ref="BK29">SUMPRODUCT(    (CapexCategory=$C29)*  (BK$3&gt;=CapexMonth) * CapexAmount)</f>
        <v>0</v>
      </c>
      <c r="BL29" s="130" cm="1">
        <f t="array" ref="BL29">SUMPRODUCT(    (CapexCategory=$C29)*  (BL$3&gt;=CapexMonth) * CapexAmount)</f>
        <v>0</v>
      </c>
      <c r="BM29" s="130" cm="1">
        <f t="array" ref="BM29">SUMPRODUCT(    (CapexCategory=$C29)*  (BM$3&gt;=CapexMonth) * CapexAmount)</f>
        <v>0</v>
      </c>
      <c r="BN29" s="130" cm="1">
        <f t="array" ref="BN29">SUMPRODUCT(    (CapexCategory=$C29)*  (BN$3&gt;=CapexMonth) * CapexAmount)</f>
        <v>0</v>
      </c>
      <c r="BO29" s="130" cm="1">
        <f t="array" ref="BO29">SUMPRODUCT(    (CapexCategory=$C29)*  (BO$3&gt;=CapexMonth) * CapexAmount)</f>
        <v>0</v>
      </c>
      <c r="BP29" s="130" cm="1">
        <f t="array" ref="BP29">SUMPRODUCT(    (CapexCategory=$C29)*  (BP$3&gt;=CapexMonth) * CapexAmount)</f>
        <v>0</v>
      </c>
      <c r="BQ29" s="130" cm="1">
        <f t="array" ref="BQ29">SUMPRODUCT(    (CapexCategory=$C29)*  (BQ$3&gt;=CapexMonth) * CapexAmount)</f>
        <v>0</v>
      </c>
      <c r="BR29" s="128" cm="1">
        <f t="array" ref="BR29">SUMPRODUCT(    (CapexCategory=$C29)*  (BR$3&gt;=CapexMonth) * CapexAmount)</f>
        <v>0</v>
      </c>
    </row>
    <row r="30" spans="1:70" ht="13.2" hidden="1" x14ac:dyDescent="0.3">
      <c r="C30" s="61" t="s">
        <v>94</v>
      </c>
      <c r="D30" s="14"/>
      <c r="E30" s="176">
        <f t="shared" si="28"/>
        <v>0</v>
      </c>
      <c r="F30" s="176">
        <f t="shared" si="29"/>
        <v>0</v>
      </c>
      <c r="G30" s="176">
        <f t="shared" si="30"/>
        <v>0</v>
      </c>
      <c r="H30" s="176">
        <f t="shared" si="31"/>
        <v>0</v>
      </c>
      <c r="I30" s="176">
        <f t="shared" si="32"/>
        <v>0</v>
      </c>
      <c r="J30" s="129"/>
      <c r="K30" s="130" cm="1">
        <f t="array" ref="K30">SUMPRODUCT(    (CapexCategory=$C30)*  (K$3&gt;=CapexMonth) *  (K$3&lt;=DeprecStop)  * CapexAmount)</f>
        <v>4</v>
      </c>
      <c r="L30" s="130" cm="1">
        <f t="array" ref="L30">SUMPRODUCT(    (CapexCategory=$C30)*  (L$3&gt;=CapexMonth) *  (L$3&lt;=DeprecStop)  * CapexAmount)</f>
        <v>4</v>
      </c>
      <c r="M30" s="130" cm="1">
        <f t="array" ref="M30">SUMPRODUCT(    (CapexCategory=$C30)*  (M$3&gt;=CapexMonth) *  (M$3&lt;=DeprecStop)  * CapexAmount)</f>
        <v>4</v>
      </c>
      <c r="N30" s="130" cm="1">
        <f t="array" ref="N30">SUMPRODUCT(    (CapexCategory=$C30)*  (N$3&gt;=CapexMonth) *  (N$3&lt;=DeprecStop)  * CapexAmount)</f>
        <v>4</v>
      </c>
      <c r="O30" s="130" cm="1">
        <f t="array" ref="O30">SUMPRODUCT(    (CapexCategory=$C30)*  (O$3&gt;=CapexMonth) *  (O$3&lt;=DeprecStop)  * CapexAmount)</f>
        <v>4</v>
      </c>
      <c r="P30" s="130" cm="1">
        <f t="array" ref="P30">SUMPRODUCT(    (CapexCategory=$C30)*  (P$3&gt;=CapexMonth) *  (P$3&lt;=DeprecStop)  * CapexAmount)</f>
        <v>4</v>
      </c>
      <c r="Q30" s="130" cm="1">
        <f t="array" ref="Q30">SUMPRODUCT(    (CapexCategory=$C30)*  (Q$3&gt;=CapexMonth) *  (Q$3&lt;=DeprecStop)  * CapexAmount)</f>
        <v>4</v>
      </c>
      <c r="R30" s="130" cm="1">
        <f t="array" ref="R30">SUMPRODUCT(    (CapexCategory=$C30)*  (R$3&gt;=CapexMonth) *  (R$3&lt;=DeprecStop)  * CapexAmount)</f>
        <v>4</v>
      </c>
      <c r="S30" s="130" cm="1">
        <f t="array" ref="S30">SUMPRODUCT(    (CapexCategory=$C30)*  (S$3&gt;=CapexMonth) *  (S$3&lt;=DeprecStop)  * CapexAmount)</f>
        <v>4</v>
      </c>
      <c r="T30" s="130" cm="1">
        <f t="array" ref="T30">SUMPRODUCT(    (CapexCategory=$C30)*  (T$3&gt;=CapexMonth) *  (T$3&lt;=DeprecStop)  * CapexAmount)</f>
        <v>4</v>
      </c>
      <c r="U30" s="130" cm="1">
        <f t="array" ref="U30">SUMPRODUCT(    (CapexCategory=$C30)*  (U$3&gt;=CapexMonth) *  (U$3&lt;=DeprecStop)  * CapexAmount)</f>
        <v>0</v>
      </c>
      <c r="V30" s="128" cm="1">
        <f t="array" ref="V30">SUMPRODUCT(    (CapexCategory=$C30)*  (V$3&gt;=CapexMonth) *  (V$3&lt;=DeprecStop)  * CapexAmount)</f>
        <v>0</v>
      </c>
      <c r="W30" s="130" cm="1">
        <f t="array" ref="W30">SUMPRODUCT(    (CapexCategory=$C30)*  (W$3&gt;=CapexMonth) *  (W$3&lt;=DeprecStop)  * CapexAmount)</f>
        <v>0</v>
      </c>
      <c r="X30" s="130" cm="1">
        <f t="array" ref="X30">SUMPRODUCT(    (CapexCategory=$C30)*  (X$3&gt;=CapexMonth) *  (X$3&lt;=DeprecStop)  * CapexAmount)</f>
        <v>0</v>
      </c>
      <c r="Y30" s="130" cm="1">
        <f t="array" ref="Y30">SUMPRODUCT(    (CapexCategory=$C30)*  (Y$3&gt;=CapexMonth) *  (Y$3&lt;=DeprecStop)  * CapexAmount)</f>
        <v>0</v>
      </c>
      <c r="Z30" s="130" cm="1">
        <f t="array" ref="Z30">SUMPRODUCT(    (CapexCategory=$C30)*  (Z$3&gt;=CapexMonth) *  (Z$3&lt;=DeprecStop)  * CapexAmount)</f>
        <v>0</v>
      </c>
      <c r="AA30" s="130" cm="1">
        <f t="array" ref="AA30">SUMPRODUCT(    (CapexCategory=$C30)*  (AA$3&gt;=CapexMonth) *  (AA$3&lt;=DeprecStop)  * CapexAmount)</f>
        <v>0</v>
      </c>
      <c r="AB30" s="130" cm="1">
        <f t="array" ref="AB30">SUMPRODUCT(    (CapexCategory=$C30)*  (AB$3&gt;=CapexMonth) *  (AB$3&lt;=DeprecStop)  * CapexAmount)</f>
        <v>0</v>
      </c>
      <c r="AC30" s="130" cm="1">
        <f t="array" ref="AC30">SUMPRODUCT(    (CapexCategory=$C30)*  (AC$3&gt;=CapexMonth) *  (AC$3&lt;=DeprecStop)  * CapexAmount)</f>
        <v>0</v>
      </c>
      <c r="AD30" s="130" cm="1">
        <f t="array" ref="AD30">SUMPRODUCT(    (CapexCategory=$C30)*  (AD$3&gt;=CapexMonth) *  (AD$3&lt;=DeprecStop)  * CapexAmount)</f>
        <v>0</v>
      </c>
      <c r="AE30" s="130" cm="1">
        <f t="array" ref="AE30">SUMPRODUCT(    (CapexCategory=$C30)*  (AE$3&gt;=CapexMonth) *  (AE$3&lt;=DeprecStop)  * CapexAmount)</f>
        <v>0</v>
      </c>
      <c r="AF30" s="130" cm="1">
        <f t="array" ref="AF30">SUMPRODUCT(    (CapexCategory=$C30)*  (AF$3&gt;=CapexMonth) *  (AF$3&lt;=DeprecStop)  * CapexAmount)</f>
        <v>0</v>
      </c>
      <c r="AG30" s="130" cm="1">
        <f t="array" ref="AG30">SUMPRODUCT(    (CapexCategory=$C30)*  (AG$3&gt;=CapexMonth) *  (AG$3&lt;=DeprecStop)  * CapexAmount)</f>
        <v>0</v>
      </c>
      <c r="AH30" s="128" cm="1">
        <f t="array" ref="AH30">SUMPRODUCT(    (CapexCategory=$C30)*  (AH$3&gt;=CapexMonth) *  (AH$3&lt;=DeprecStop)  * CapexAmount)</f>
        <v>0</v>
      </c>
      <c r="AI30" s="130" cm="1">
        <f t="array" ref="AI30">SUMPRODUCT(    (CapexCategory=$C30)*  (AI$3&gt;=CapexMonth) *  (AI$3&lt;=DeprecStop)  * CapexAmount)</f>
        <v>0</v>
      </c>
      <c r="AJ30" s="130" cm="1">
        <f t="array" ref="AJ30">SUMPRODUCT(    (CapexCategory=$C30)*  (AJ$3&gt;=CapexMonth) *  (AJ$3&lt;=DeprecStop)  * CapexAmount)</f>
        <v>0</v>
      </c>
      <c r="AK30" s="130" cm="1">
        <f t="array" ref="AK30">SUMPRODUCT(    (CapexCategory=$C30)*  (AK$3&gt;=CapexMonth) *  (AK$3&lt;=DeprecStop)  * CapexAmount)</f>
        <v>0</v>
      </c>
      <c r="AL30" s="130" cm="1">
        <f t="array" ref="AL30">SUMPRODUCT(    (CapexCategory=$C30)*  (AL$3&gt;=CapexMonth) *  (AL$3&lt;=DeprecStop)  * CapexAmount)</f>
        <v>0</v>
      </c>
      <c r="AM30" s="130" cm="1">
        <f t="array" ref="AM30">SUMPRODUCT(    (CapexCategory=$C30)*  (AM$3&gt;=CapexMonth) *  (AM$3&lt;=DeprecStop)  * CapexAmount)</f>
        <v>0</v>
      </c>
      <c r="AN30" s="130" cm="1">
        <f t="array" ref="AN30">SUMPRODUCT(    (CapexCategory=$C30)*  (AN$3&gt;=CapexMonth) *  (AN$3&lt;=DeprecStop)  * CapexAmount)</f>
        <v>0</v>
      </c>
      <c r="AO30" s="130" cm="1">
        <f t="array" ref="AO30">SUMPRODUCT(    (CapexCategory=$C30)*  (AO$3&gt;=CapexMonth) *  (AO$3&lt;=DeprecStop)  * CapexAmount)</f>
        <v>0</v>
      </c>
      <c r="AP30" s="130" cm="1">
        <f t="array" ref="AP30">SUMPRODUCT(    (CapexCategory=$C30)*  (AP$3&gt;=CapexMonth) *  (AP$3&lt;=DeprecStop)  * CapexAmount)</f>
        <v>0</v>
      </c>
      <c r="AQ30" s="130" cm="1">
        <f t="array" ref="AQ30">SUMPRODUCT(    (CapexCategory=$C30)*  (AQ$3&gt;=CapexMonth) *  (AQ$3&lt;=DeprecStop)  * CapexAmount)</f>
        <v>0</v>
      </c>
      <c r="AR30" s="130" cm="1">
        <f t="array" ref="AR30">SUMPRODUCT(    (CapexCategory=$C30)*  (AR$3&gt;=CapexMonth) *  (AR$3&lt;=DeprecStop)  * CapexAmount)</f>
        <v>0</v>
      </c>
      <c r="AS30" s="130" cm="1">
        <f t="array" ref="AS30">SUMPRODUCT(    (CapexCategory=$C30)*  (AS$3&gt;=CapexMonth) *  (AS$3&lt;=DeprecStop)  * CapexAmount)</f>
        <v>0</v>
      </c>
      <c r="AT30" s="128" cm="1">
        <f t="array" ref="AT30">SUMPRODUCT(    (CapexCategory=$C30)*  (AT$3&gt;=CapexMonth) *  (AT$3&lt;=DeprecStop)  * CapexAmount)</f>
        <v>0</v>
      </c>
      <c r="AU30" s="130" cm="1">
        <f t="array" ref="AU30">SUMPRODUCT(    (CapexCategory=$C30)*  (AU$3&gt;=CapexMonth) *  (AU$3&lt;=DeprecStop)  * CapexAmount)</f>
        <v>0</v>
      </c>
      <c r="AV30" s="130" cm="1">
        <f t="array" ref="AV30">SUMPRODUCT(    (CapexCategory=$C30)*  (AV$3&gt;=CapexMonth) *  (AV$3&lt;=DeprecStop)  * CapexAmount)</f>
        <v>0</v>
      </c>
      <c r="AW30" s="130" cm="1">
        <f t="array" ref="AW30">SUMPRODUCT(    (CapexCategory=$C30)*  (AW$3&gt;=CapexMonth) *  (AW$3&lt;=DeprecStop)  * CapexAmount)</f>
        <v>0</v>
      </c>
      <c r="AX30" s="130" cm="1">
        <f t="array" ref="AX30">SUMPRODUCT(    (CapexCategory=$C30)*  (AX$3&gt;=CapexMonth) *  (AX$3&lt;=DeprecStop)  * CapexAmount)</f>
        <v>0</v>
      </c>
      <c r="AY30" s="130" cm="1">
        <f t="array" ref="AY30">SUMPRODUCT(    (CapexCategory=$C30)*  (AY$3&gt;=CapexMonth) *  (AY$3&lt;=DeprecStop)  * CapexAmount)</f>
        <v>0</v>
      </c>
      <c r="AZ30" s="130" cm="1">
        <f t="array" ref="AZ30">SUMPRODUCT(    (CapexCategory=$C30)*  (AZ$3&gt;=CapexMonth) *  (AZ$3&lt;=DeprecStop)  * CapexAmount)</f>
        <v>0</v>
      </c>
      <c r="BA30" s="130" cm="1">
        <f t="array" ref="BA30">SUMPRODUCT(    (CapexCategory=$C30)*  (BA$3&gt;=CapexMonth) *  (BA$3&lt;=DeprecStop)  * CapexAmount)</f>
        <v>0</v>
      </c>
      <c r="BB30" s="130" cm="1">
        <f t="array" ref="BB30">SUMPRODUCT(    (CapexCategory=$C30)*  (BB$3&gt;=CapexMonth) *  (BB$3&lt;=DeprecStop)  * CapexAmount)</f>
        <v>0</v>
      </c>
      <c r="BC30" s="130" cm="1">
        <f t="array" ref="BC30">SUMPRODUCT(    (CapexCategory=$C30)*  (BC$3&gt;=CapexMonth) *  (BC$3&lt;=DeprecStop)  * CapexAmount)</f>
        <v>0</v>
      </c>
      <c r="BD30" s="130" cm="1">
        <f t="array" ref="BD30">SUMPRODUCT(    (CapexCategory=$C30)*  (BD$3&gt;=CapexMonth) *  (BD$3&lt;=DeprecStop)  * CapexAmount)</f>
        <v>0</v>
      </c>
      <c r="BE30" s="130" cm="1">
        <f t="array" ref="BE30">SUMPRODUCT(    (CapexCategory=$C30)*  (BE$3&gt;=CapexMonth) *  (BE$3&lt;=DeprecStop)  * CapexAmount)</f>
        <v>0</v>
      </c>
      <c r="BF30" s="128" cm="1">
        <f t="array" ref="BF30">SUMPRODUCT(    (CapexCategory=$C30)*  (BF$3&gt;=CapexMonth) *  (BF$3&lt;=DeprecStop)  * CapexAmount)</f>
        <v>0</v>
      </c>
      <c r="BG30" s="130" cm="1">
        <f t="array" ref="BG30">SUMPRODUCT(    (CapexCategory=$C30)*  (BG$3&gt;=CapexMonth) *  (BG$3&lt;=DeprecStop)  * CapexAmount)</f>
        <v>0</v>
      </c>
      <c r="BH30" s="130" cm="1">
        <f t="array" ref="BH30">SUMPRODUCT(    (CapexCategory=$C30)*  (BH$3&gt;=CapexMonth) *  (BH$3&lt;=DeprecStop)  * CapexAmount)</f>
        <v>0</v>
      </c>
      <c r="BI30" s="130" cm="1">
        <f t="array" ref="BI30">SUMPRODUCT(    (CapexCategory=$C30)*  (BI$3&gt;=CapexMonth) *  (BI$3&lt;=DeprecStop)  * CapexAmount)</f>
        <v>0</v>
      </c>
      <c r="BJ30" s="130" cm="1">
        <f t="array" ref="BJ30">SUMPRODUCT(    (CapexCategory=$C30)*  (BJ$3&gt;=CapexMonth) *  (BJ$3&lt;=DeprecStop)  * CapexAmount)</f>
        <v>0</v>
      </c>
      <c r="BK30" s="130" cm="1">
        <f t="array" ref="BK30">SUMPRODUCT(    (CapexCategory=$C30)*  (BK$3&gt;=CapexMonth) *  (BK$3&lt;=DeprecStop)  * CapexAmount)</f>
        <v>0</v>
      </c>
      <c r="BL30" s="130" cm="1">
        <f t="array" ref="BL30">SUMPRODUCT(    (CapexCategory=$C30)*  (BL$3&gt;=CapexMonth) *  (BL$3&lt;=DeprecStop)  * CapexAmount)</f>
        <v>0</v>
      </c>
      <c r="BM30" s="130" cm="1">
        <f t="array" ref="BM30">SUMPRODUCT(    (CapexCategory=$C30)*  (BM$3&gt;=CapexMonth) *  (BM$3&lt;=DeprecStop)  * CapexAmount)</f>
        <v>0</v>
      </c>
      <c r="BN30" s="130" cm="1">
        <f t="array" ref="BN30">SUMPRODUCT(    (CapexCategory=$C30)*  (BN$3&gt;=CapexMonth) *  (BN$3&lt;=DeprecStop)  * CapexAmount)</f>
        <v>0</v>
      </c>
      <c r="BO30" s="130" cm="1">
        <f t="array" ref="BO30">SUMPRODUCT(    (CapexCategory=$C30)*  (BO$3&gt;=CapexMonth) *  (BO$3&lt;=DeprecStop)  * CapexAmount)</f>
        <v>0</v>
      </c>
      <c r="BP30" s="130" cm="1">
        <f t="array" ref="BP30">SUMPRODUCT(    (CapexCategory=$C30)*  (BP$3&gt;=CapexMonth) *  (BP$3&lt;=DeprecStop)  * CapexAmount)</f>
        <v>0</v>
      </c>
      <c r="BQ30" s="130" cm="1">
        <f t="array" ref="BQ30">SUMPRODUCT(    (CapexCategory=$C30)*  (BQ$3&gt;=CapexMonth) *  (BQ$3&lt;=DeprecStop)  * CapexAmount)</f>
        <v>0</v>
      </c>
      <c r="BR30" s="128" cm="1">
        <f t="array" ref="BR30">SUMPRODUCT(    (CapexCategory=$C30)*  (BR$3&gt;=CapexMonth) *  (BR$3&lt;=DeprecStop)  * CapexAmount)</f>
        <v>0</v>
      </c>
    </row>
    <row r="31" spans="1:70" ht="13.2" hidden="1" x14ac:dyDescent="0.3">
      <c r="C31" s="61" t="s">
        <v>95</v>
      </c>
      <c r="D31" s="14"/>
      <c r="E31" s="176">
        <f t="shared" si="28"/>
        <v>0</v>
      </c>
      <c r="F31" s="176">
        <f t="shared" si="29"/>
        <v>0</v>
      </c>
      <c r="G31" s="176">
        <f t="shared" si="30"/>
        <v>0</v>
      </c>
      <c r="H31" s="176">
        <f t="shared" si="31"/>
        <v>0</v>
      </c>
      <c r="I31" s="176">
        <f t="shared" si="32"/>
        <v>0</v>
      </c>
      <c r="J31" s="129"/>
      <c r="K31" s="130" cm="1">
        <f t="array" ref="K31">SUMPRODUCT(    (CapexCategory=$C31)*  (K$3&gt;=CapexMonth) *  (K$3&lt;=DeprecStop)  * CapexAmount)</f>
        <v>0</v>
      </c>
      <c r="L31" s="130" cm="1">
        <f t="array" ref="L31">SUMPRODUCT(    (CapexCategory=$C31)*  (L$3&gt;=CapexMonth) *  (L$3&lt;=DeprecStop)  * CapexAmount)</f>
        <v>0</v>
      </c>
      <c r="M31" s="130" cm="1">
        <f t="array" ref="M31">SUMPRODUCT(    (CapexCategory=$C31)*  (M$3&gt;=CapexMonth) *  (M$3&lt;=DeprecStop)  * CapexAmount)</f>
        <v>0</v>
      </c>
      <c r="N31" s="130" cm="1">
        <f t="array" ref="N31">SUMPRODUCT(    (CapexCategory=$C31)*  (N$3&gt;=CapexMonth) *  (N$3&lt;=DeprecStop)  * CapexAmount)</f>
        <v>0</v>
      </c>
      <c r="O31" s="130" cm="1">
        <f t="array" ref="O31">SUMPRODUCT(    (CapexCategory=$C31)*  (O$3&gt;=CapexMonth) *  (O$3&lt;=DeprecStop)  * CapexAmount)</f>
        <v>0</v>
      </c>
      <c r="P31" s="130" cm="1">
        <f t="array" ref="P31">SUMPRODUCT(    (CapexCategory=$C31)*  (P$3&gt;=CapexMonth) *  (P$3&lt;=DeprecStop)  * CapexAmount)</f>
        <v>0</v>
      </c>
      <c r="Q31" s="130" cm="1">
        <f t="array" ref="Q31">SUMPRODUCT(    (CapexCategory=$C31)*  (Q$3&gt;=CapexMonth) *  (Q$3&lt;=DeprecStop)  * CapexAmount)</f>
        <v>0</v>
      </c>
      <c r="R31" s="130" cm="1">
        <f t="array" ref="R31">SUMPRODUCT(    (CapexCategory=$C31)*  (R$3&gt;=CapexMonth) *  (R$3&lt;=DeprecStop)  * CapexAmount)</f>
        <v>0</v>
      </c>
      <c r="S31" s="130" cm="1">
        <f t="array" ref="S31">SUMPRODUCT(    (CapexCategory=$C31)*  (S$3&gt;=CapexMonth) *  (S$3&lt;=DeprecStop)  * CapexAmount)</f>
        <v>0</v>
      </c>
      <c r="T31" s="130" cm="1">
        <f t="array" ref="T31">SUMPRODUCT(    (CapexCategory=$C31)*  (T$3&gt;=CapexMonth) *  (T$3&lt;=DeprecStop)  * CapexAmount)</f>
        <v>0</v>
      </c>
      <c r="U31" s="130" cm="1">
        <f t="array" ref="U31">SUMPRODUCT(    (CapexCategory=$C31)*  (U$3&gt;=CapexMonth) *  (U$3&lt;=DeprecStop)  * CapexAmount)</f>
        <v>0</v>
      </c>
      <c r="V31" s="128" cm="1">
        <f t="array" ref="V31">SUMPRODUCT(    (CapexCategory=$C31)*  (V$3&gt;=CapexMonth) *  (V$3&lt;=DeprecStop)  * CapexAmount)</f>
        <v>0</v>
      </c>
      <c r="W31" s="130" cm="1">
        <f t="array" ref="W31">SUMPRODUCT(    (CapexCategory=$C31)*  (W$3&gt;=CapexMonth) *  (W$3&lt;=DeprecStop)  * CapexAmount)</f>
        <v>0</v>
      </c>
      <c r="X31" s="130" cm="1">
        <f t="array" ref="X31">SUMPRODUCT(    (CapexCategory=$C31)*  (X$3&gt;=CapexMonth) *  (X$3&lt;=DeprecStop)  * CapexAmount)</f>
        <v>0</v>
      </c>
      <c r="Y31" s="130" cm="1">
        <f t="array" ref="Y31">SUMPRODUCT(    (CapexCategory=$C31)*  (Y$3&gt;=CapexMonth) *  (Y$3&lt;=DeprecStop)  * CapexAmount)</f>
        <v>0</v>
      </c>
      <c r="Z31" s="130" cm="1">
        <f t="array" ref="Z31">SUMPRODUCT(    (CapexCategory=$C31)*  (Z$3&gt;=CapexMonth) *  (Z$3&lt;=DeprecStop)  * CapexAmount)</f>
        <v>0</v>
      </c>
      <c r="AA31" s="130" cm="1">
        <f t="array" ref="AA31">SUMPRODUCT(    (CapexCategory=$C31)*  (AA$3&gt;=CapexMonth) *  (AA$3&lt;=DeprecStop)  * CapexAmount)</f>
        <v>0</v>
      </c>
      <c r="AB31" s="130" cm="1">
        <f t="array" ref="AB31">SUMPRODUCT(    (CapexCategory=$C31)*  (AB$3&gt;=CapexMonth) *  (AB$3&lt;=DeprecStop)  * CapexAmount)</f>
        <v>0</v>
      </c>
      <c r="AC31" s="130" cm="1">
        <f t="array" ref="AC31">SUMPRODUCT(    (CapexCategory=$C31)*  (AC$3&gt;=CapexMonth) *  (AC$3&lt;=DeprecStop)  * CapexAmount)</f>
        <v>0</v>
      </c>
      <c r="AD31" s="130" cm="1">
        <f t="array" ref="AD31">SUMPRODUCT(    (CapexCategory=$C31)*  (AD$3&gt;=CapexMonth) *  (AD$3&lt;=DeprecStop)  * CapexAmount)</f>
        <v>0</v>
      </c>
      <c r="AE31" s="130" cm="1">
        <f t="array" ref="AE31">SUMPRODUCT(    (CapexCategory=$C31)*  (AE$3&gt;=CapexMonth) *  (AE$3&lt;=DeprecStop)  * CapexAmount)</f>
        <v>0</v>
      </c>
      <c r="AF31" s="130" cm="1">
        <f t="array" ref="AF31">SUMPRODUCT(    (CapexCategory=$C31)*  (AF$3&gt;=CapexMonth) *  (AF$3&lt;=DeprecStop)  * CapexAmount)</f>
        <v>0</v>
      </c>
      <c r="AG31" s="130" cm="1">
        <f t="array" ref="AG31">SUMPRODUCT(    (CapexCategory=$C31)*  (AG$3&gt;=CapexMonth) *  (AG$3&lt;=DeprecStop)  * CapexAmount)</f>
        <v>0</v>
      </c>
      <c r="AH31" s="128" cm="1">
        <f t="array" ref="AH31">SUMPRODUCT(    (CapexCategory=$C31)*  (AH$3&gt;=CapexMonth) *  (AH$3&lt;=DeprecStop)  * CapexAmount)</f>
        <v>0</v>
      </c>
      <c r="AI31" s="130" cm="1">
        <f t="array" ref="AI31">SUMPRODUCT(    (CapexCategory=$C31)*  (AI$3&gt;=CapexMonth) *  (AI$3&lt;=DeprecStop)  * CapexAmount)</f>
        <v>0</v>
      </c>
      <c r="AJ31" s="130" cm="1">
        <f t="array" ref="AJ31">SUMPRODUCT(    (CapexCategory=$C31)*  (AJ$3&gt;=CapexMonth) *  (AJ$3&lt;=DeprecStop)  * CapexAmount)</f>
        <v>0</v>
      </c>
      <c r="AK31" s="130" cm="1">
        <f t="array" ref="AK31">SUMPRODUCT(    (CapexCategory=$C31)*  (AK$3&gt;=CapexMonth) *  (AK$3&lt;=DeprecStop)  * CapexAmount)</f>
        <v>0</v>
      </c>
      <c r="AL31" s="130" cm="1">
        <f t="array" ref="AL31">SUMPRODUCT(    (CapexCategory=$C31)*  (AL$3&gt;=CapexMonth) *  (AL$3&lt;=DeprecStop)  * CapexAmount)</f>
        <v>0</v>
      </c>
      <c r="AM31" s="130" cm="1">
        <f t="array" ref="AM31">SUMPRODUCT(    (CapexCategory=$C31)*  (AM$3&gt;=CapexMonth) *  (AM$3&lt;=DeprecStop)  * CapexAmount)</f>
        <v>0</v>
      </c>
      <c r="AN31" s="130" cm="1">
        <f t="array" ref="AN31">SUMPRODUCT(    (CapexCategory=$C31)*  (AN$3&gt;=CapexMonth) *  (AN$3&lt;=DeprecStop)  * CapexAmount)</f>
        <v>0</v>
      </c>
      <c r="AO31" s="130" cm="1">
        <f t="array" ref="AO31">SUMPRODUCT(    (CapexCategory=$C31)*  (AO$3&gt;=CapexMonth) *  (AO$3&lt;=DeprecStop)  * CapexAmount)</f>
        <v>0</v>
      </c>
      <c r="AP31" s="130" cm="1">
        <f t="array" ref="AP31">SUMPRODUCT(    (CapexCategory=$C31)*  (AP$3&gt;=CapexMonth) *  (AP$3&lt;=DeprecStop)  * CapexAmount)</f>
        <v>0</v>
      </c>
      <c r="AQ31" s="130" cm="1">
        <f t="array" ref="AQ31">SUMPRODUCT(    (CapexCategory=$C31)*  (AQ$3&gt;=CapexMonth) *  (AQ$3&lt;=DeprecStop)  * CapexAmount)</f>
        <v>0</v>
      </c>
      <c r="AR31" s="130" cm="1">
        <f t="array" ref="AR31">SUMPRODUCT(    (CapexCategory=$C31)*  (AR$3&gt;=CapexMonth) *  (AR$3&lt;=DeprecStop)  * CapexAmount)</f>
        <v>0</v>
      </c>
      <c r="AS31" s="130" cm="1">
        <f t="array" ref="AS31">SUMPRODUCT(    (CapexCategory=$C31)*  (AS$3&gt;=CapexMonth) *  (AS$3&lt;=DeprecStop)  * CapexAmount)</f>
        <v>0</v>
      </c>
      <c r="AT31" s="128" cm="1">
        <f t="array" ref="AT31">SUMPRODUCT(    (CapexCategory=$C31)*  (AT$3&gt;=CapexMonth) *  (AT$3&lt;=DeprecStop)  * CapexAmount)</f>
        <v>0</v>
      </c>
      <c r="AU31" s="130" cm="1">
        <f t="array" ref="AU31">SUMPRODUCT(    (CapexCategory=$C31)*  (AU$3&gt;=CapexMonth) *  (AU$3&lt;=DeprecStop)  * CapexAmount)</f>
        <v>0</v>
      </c>
      <c r="AV31" s="130" cm="1">
        <f t="array" ref="AV31">SUMPRODUCT(    (CapexCategory=$C31)*  (AV$3&gt;=CapexMonth) *  (AV$3&lt;=DeprecStop)  * CapexAmount)</f>
        <v>0</v>
      </c>
      <c r="AW31" s="130" cm="1">
        <f t="array" ref="AW31">SUMPRODUCT(    (CapexCategory=$C31)*  (AW$3&gt;=CapexMonth) *  (AW$3&lt;=DeprecStop)  * CapexAmount)</f>
        <v>0</v>
      </c>
      <c r="AX31" s="130" cm="1">
        <f t="array" ref="AX31">SUMPRODUCT(    (CapexCategory=$C31)*  (AX$3&gt;=CapexMonth) *  (AX$3&lt;=DeprecStop)  * CapexAmount)</f>
        <v>0</v>
      </c>
      <c r="AY31" s="130" cm="1">
        <f t="array" ref="AY31">SUMPRODUCT(    (CapexCategory=$C31)*  (AY$3&gt;=CapexMonth) *  (AY$3&lt;=DeprecStop)  * CapexAmount)</f>
        <v>0</v>
      </c>
      <c r="AZ31" s="130" cm="1">
        <f t="array" ref="AZ31">SUMPRODUCT(    (CapexCategory=$C31)*  (AZ$3&gt;=CapexMonth) *  (AZ$3&lt;=DeprecStop)  * CapexAmount)</f>
        <v>0</v>
      </c>
      <c r="BA31" s="130" cm="1">
        <f t="array" ref="BA31">SUMPRODUCT(    (CapexCategory=$C31)*  (BA$3&gt;=CapexMonth) *  (BA$3&lt;=DeprecStop)  * CapexAmount)</f>
        <v>0</v>
      </c>
      <c r="BB31" s="130" cm="1">
        <f t="array" ref="BB31">SUMPRODUCT(    (CapexCategory=$C31)*  (BB$3&gt;=CapexMonth) *  (BB$3&lt;=DeprecStop)  * CapexAmount)</f>
        <v>0</v>
      </c>
      <c r="BC31" s="130" cm="1">
        <f t="array" ref="BC31">SUMPRODUCT(    (CapexCategory=$C31)*  (BC$3&gt;=CapexMonth) *  (BC$3&lt;=DeprecStop)  * CapexAmount)</f>
        <v>0</v>
      </c>
      <c r="BD31" s="130" cm="1">
        <f t="array" ref="BD31">SUMPRODUCT(    (CapexCategory=$C31)*  (BD$3&gt;=CapexMonth) *  (BD$3&lt;=DeprecStop)  * CapexAmount)</f>
        <v>0</v>
      </c>
      <c r="BE31" s="130" cm="1">
        <f t="array" ref="BE31">SUMPRODUCT(    (CapexCategory=$C31)*  (BE$3&gt;=CapexMonth) *  (BE$3&lt;=DeprecStop)  * CapexAmount)</f>
        <v>0</v>
      </c>
      <c r="BF31" s="128" cm="1">
        <f t="array" ref="BF31">SUMPRODUCT(    (CapexCategory=$C31)*  (BF$3&gt;=CapexMonth) *  (BF$3&lt;=DeprecStop)  * CapexAmount)</f>
        <v>0</v>
      </c>
      <c r="BG31" s="130" cm="1">
        <f t="array" ref="BG31">SUMPRODUCT(    (CapexCategory=$C31)*  (BG$3&gt;=CapexMonth) *  (BG$3&lt;=DeprecStop)  * CapexAmount)</f>
        <v>0</v>
      </c>
      <c r="BH31" s="130" cm="1">
        <f t="array" ref="BH31">SUMPRODUCT(    (CapexCategory=$C31)*  (BH$3&gt;=CapexMonth) *  (BH$3&lt;=DeprecStop)  * CapexAmount)</f>
        <v>0</v>
      </c>
      <c r="BI31" s="130" cm="1">
        <f t="array" ref="BI31">SUMPRODUCT(    (CapexCategory=$C31)*  (BI$3&gt;=CapexMonth) *  (BI$3&lt;=DeprecStop)  * CapexAmount)</f>
        <v>0</v>
      </c>
      <c r="BJ31" s="130" cm="1">
        <f t="array" ref="BJ31">SUMPRODUCT(    (CapexCategory=$C31)*  (BJ$3&gt;=CapexMonth) *  (BJ$3&lt;=DeprecStop)  * CapexAmount)</f>
        <v>0</v>
      </c>
      <c r="BK31" s="130" cm="1">
        <f t="array" ref="BK31">SUMPRODUCT(    (CapexCategory=$C31)*  (BK$3&gt;=CapexMonth) *  (BK$3&lt;=DeprecStop)  * CapexAmount)</f>
        <v>0</v>
      </c>
      <c r="BL31" s="130" cm="1">
        <f t="array" ref="BL31">SUMPRODUCT(    (CapexCategory=$C31)*  (BL$3&gt;=CapexMonth) *  (BL$3&lt;=DeprecStop)  * CapexAmount)</f>
        <v>0</v>
      </c>
      <c r="BM31" s="130" cm="1">
        <f t="array" ref="BM31">SUMPRODUCT(    (CapexCategory=$C31)*  (BM$3&gt;=CapexMonth) *  (BM$3&lt;=DeprecStop)  * CapexAmount)</f>
        <v>0</v>
      </c>
      <c r="BN31" s="130" cm="1">
        <f t="array" ref="BN31">SUMPRODUCT(    (CapexCategory=$C31)*  (BN$3&gt;=CapexMonth) *  (BN$3&lt;=DeprecStop)  * CapexAmount)</f>
        <v>0</v>
      </c>
      <c r="BO31" s="130" cm="1">
        <f t="array" ref="BO31">SUMPRODUCT(    (CapexCategory=$C31)*  (BO$3&gt;=CapexMonth) *  (BO$3&lt;=DeprecStop)  * CapexAmount)</f>
        <v>0</v>
      </c>
      <c r="BP31" s="130" cm="1">
        <f t="array" ref="BP31">SUMPRODUCT(    (CapexCategory=$C31)*  (BP$3&gt;=CapexMonth) *  (BP$3&lt;=DeprecStop)  * CapexAmount)</f>
        <v>0</v>
      </c>
      <c r="BQ31" s="130" cm="1">
        <f t="array" ref="BQ31">SUMPRODUCT(    (CapexCategory=$C31)*  (BQ$3&gt;=CapexMonth) *  (BQ$3&lt;=DeprecStop)  * CapexAmount)</f>
        <v>0</v>
      </c>
      <c r="BR31" s="128" cm="1">
        <f t="array" ref="BR31">SUMPRODUCT(    (CapexCategory=$C31)*  (BR$3&gt;=CapexMonth) *  (BR$3&lt;=DeprecStop)  * CapexAmount)</f>
        <v>0</v>
      </c>
    </row>
    <row r="32" spans="1:70" ht="13.2" hidden="1" x14ac:dyDescent="0.3">
      <c r="C32" s="61" t="s">
        <v>96</v>
      </c>
      <c r="D32" s="14"/>
      <c r="E32" s="176">
        <f t="shared" si="28"/>
        <v>100</v>
      </c>
      <c r="F32" s="176">
        <f t="shared" si="29"/>
        <v>0</v>
      </c>
      <c r="G32" s="176">
        <f t="shared" si="30"/>
        <v>0</v>
      </c>
      <c r="H32" s="176">
        <f t="shared" si="31"/>
        <v>0</v>
      </c>
      <c r="I32" s="176">
        <f t="shared" si="32"/>
        <v>0</v>
      </c>
      <c r="J32" s="129"/>
      <c r="K32" s="130" cm="1">
        <f t="array" ref="K32">SUMPRODUCT(    (CapexCategory=$C32)*  (K$3&gt;=CapexMonth) *  (K$3&lt;=DeprecStop)  * CapexAmount)</f>
        <v>0</v>
      </c>
      <c r="L32" s="130" cm="1">
        <f t="array" ref="L32">SUMPRODUCT(    (CapexCategory=$C32)*  (L$3&gt;=CapexMonth) *  (L$3&lt;=DeprecStop)  * CapexAmount)</f>
        <v>0</v>
      </c>
      <c r="M32" s="130" cm="1">
        <f t="array" ref="M32">SUMPRODUCT(    (CapexCategory=$C32)*  (M$3&gt;=CapexMonth) *  (M$3&lt;=DeprecStop)  * CapexAmount)</f>
        <v>0</v>
      </c>
      <c r="N32" s="130" cm="1">
        <f t="array" ref="N32">SUMPRODUCT(    (CapexCategory=$C32)*  (N$3&gt;=CapexMonth) *  (N$3&lt;=DeprecStop)  * CapexAmount)</f>
        <v>0</v>
      </c>
      <c r="O32" s="130" cm="1">
        <f t="array" ref="O32">SUMPRODUCT(    (CapexCategory=$C32)*  (O$3&gt;=CapexMonth) *  (O$3&lt;=DeprecStop)  * CapexAmount)</f>
        <v>0</v>
      </c>
      <c r="P32" s="130" cm="1">
        <f t="array" ref="P32">SUMPRODUCT(    (CapexCategory=$C32)*  (P$3&gt;=CapexMonth) *  (P$3&lt;=DeprecStop)  * CapexAmount)</f>
        <v>100</v>
      </c>
      <c r="Q32" s="130" cm="1">
        <f t="array" ref="Q32">SUMPRODUCT(    (CapexCategory=$C32)*  (Q$3&gt;=CapexMonth) *  (Q$3&lt;=DeprecStop)  * CapexAmount)</f>
        <v>100</v>
      </c>
      <c r="R32" s="130" cm="1">
        <f t="array" ref="R32">SUMPRODUCT(    (CapexCategory=$C32)*  (R$3&gt;=CapexMonth) *  (R$3&lt;=DeprecStop)  * CapexAmount)</f>
        <v>100</v>
      </c>
      <c r="S32" s="130" cm="1">
        <f t="array" ref="S32">SUMPRODUCT(    (CapexCategory=$C32)*  (S$3&gt;=CapexMonth) *  (S$3&lt;=DeprecStop)  * CapexAmount)</f>
        <v>100</v>
      </c>
      <c r="T32" s="130" cm="1">
        <f t="array" ref="T32">SUMPRODUCT(    (CapexCategory=$C32)*  (T$3&gt;=CapexMonth) *  (T$3&lt;=DeprecStop)  * CapexAmount)</f>
        <v>100</v>
      </c>
      <c r="U32" s="130" cm="1">
        <f t="array" ref="U32">SUMPRODUCT(    (CapexCategory=$C32)*  (U$3&gt;=CapexMonth) *  (U$3&lt;=DeprecStop)  * CapexAmount)</f>
        <v>100</v>
      </c>
      <c r="V32" s="128" cm="1">
        <f t="array" ref="V32">SUMPRODUCT(    (CapexCategory=$C32)*  (V$3&gt;=CapexMonth) *  (V$3&lt;=DeprecStop)  * CapexAmount)</f>
        <v>100</v>
      </c>
      <c r="W32" s="130" cm="1">
        <f t="array" ref="W32">SUMPRODUCT(    (CapexCategory=$C32)*  (W$3&gt;=CapexMonth) *  (W$3&lt;=DeprecStop)  * CapexAmount)</f>
        <v>100</v>
      </c>
      <c r="X32" s="130" cm="1">
        <f t="array" ref="X32">SUMPRODUCT(    (CapexCategory=$C32)*  (X$3&gt;=CapexMonth) *  (X$3&lt;=DeprecStop)  * CapexAmount)</f>
        <v>100</v>
      </c>
      <c r="Y32" s="130" cm="1">
        <f t="array" ref="Y32">SUMPRODUCT(    (CapexCategory=$C32)*  (Y$3&gt;=CapexMonth) *  (Y$3&lt;=DeprecStop)  * CapexAmount)</f>
        <v>100</v>
      </c>
      <c r="Z32" s="130" cm="1">
        <f t="array" ref="Z32">SUMPRODUCT(    (CapexCategory=$C32)*  (Z$3&gt;=CapexMonth) *  (Z$3&lt;=DeprecStop)  * CapexAmount)</f>
        <v>100</v>
      </c>
      <c r="AA32" s="130" cm="1">
        <f t="array" ref="AA32">SUMPRODUCT(    (CapexCategory=$C32)*  (AA$3&gt;=CapexMonth) *  (AA$3&lt;=DeprecStop)  * CapexAmount)</f>
        <v>100</v>
      </c>
      <c r="AB32" s="130" cm="1">
        <f t="array" ref="AB32">SUMPRODUCT(    (CapexCategory=$C32)*  (AB$3&gt;=CapexMonth) *  (AB$3&lt;=DeprecStop)  * CapexAmount)</f>
        <v>100</v>
      </c>
      <c r="AC32" s="130" cm="1">
        <f t="array" ref="AC32">SUMPRODUCT(    (CapexCategory=$C32)*  (AC$3&gt;=CapexMonth) *  (AC$3&lt;=DeprecStop)  * CapexAmount)</f>
        <v>100</v>
      </c>
      <c r="AD32" s="130" cm="1">
        <f t="array" ref="AD32">SUMPRODUCT(    (CapexCategory=$C32)*  (AD$3&gt;=CapexMonth) *  (AD$3&lt;=DeprecStop)  * CapexAmount)</f>
        <v>0</v>
      </c>
      <c r="AE32" s="130" cm="1">
        <f t="array" ref="AE32">SUMPRODUCT(    (CapexCategory=$C32)*  (AE$3&gt;=CapexMonth) *  (AE$3&lt;=DeprecStop)  * CapexAmount)</f>
        <v>0</v>
      </c>
      <c r="AF32" s="130" cm="1">
        <f t="array" ref="AF32">SUMPRODUCT(    (CapexCategory=$C32)*  (AF$3&gt;=CapexMonth) *  (AF$3&lt;=DeprecStop)  * CapexAmount)</f>
        <v>0</v>
      </c>
      <c r="AG32" s="130" cm="1">
        <f t="array" ref="AG32">SUMPRODUCT(    (CapexCategory=$C32)*  (AG$3&gt;=CapexMonth) *  (AG$3&lt;=DeprecStop)  * CapexAmount)</f>
        <v>0</v>
      </c>
      <c r="AH32" s="128" cm="1">
        <f t="array" ref="AH32">SUMPRODUCT(    (CapexCategory=$C32)*  (AH$3&gt;=CapexMonth) *  (AH$3&lt;=DeprecStop)  * CapexAmount)</f>
        <v>0</v>
      </c>
      <c r="AI32" s="130" cm="1">
        <f t="array" ref="AI32">SUMPRODUCT(    (CapexCategory=$C32)*  (AI$3&gt;=CapexMonth) *  (AI$3&lt;=DeprecStop)  * CapexAmount)</f>
        <v>0</v>
      </c>
      <c r="AJ32" s="130" cm="1">
        <f t="array" ref="AJ32">SUMPRODUCT(    (CapexCategory=$C32)*  (AJ$3&gt;=CapexMonth) *  (AJ$3&lt;=DeprecStop)  * CapexAmount)</f>
        <v>0</v>
      </c>
      <c r="AK32" s="130" cm="1">
        <f t="array" ref="AK32">SUMPRODUCT(    (CapexCategory=$C32)*  (AK$3&gt;=CapexMonth) *  (AK$3&lt;=DeprecStop)  * CapexAmount)</f>
        <v>0</v>
      </c>
      <c r="AL32" s="130" cm="1">
        <f t="array" ref="AL32">SUMPRODUCT(    (CapexCategory=$C32)*  (AL$3&gt;=CapexMonth) *  (AL$3&lt;=DeprecStop)  * CapexAmount)</f>
        <v>0</v>
      </c>
      <c r="AM32" s="130" cm="1">
        <f t="array" ref="AM32">SUMPRODUCT(    (CapexCategory=$C32)*  (AM$3&gt;=CapexMonth) *  (AM$3&lt;=DeprecStop)  * CapexAmount)</f>
        <v>0</v>
      </c>
      <c r="AN32" s="130" cm="1">
        <f t="array" ref="AN32">SUMPRODUCT(    (CapexCategory=$C32)*  (AN$3&gt;=CapexMonth) *  (AN$3&lt;=DeprecStop)  * CapexAmount)</f>
        <v>0</v>
      </c>
      <c r="AO32" s="130" cm="1">
        <f t="array" ref="AO32">SUMPRODUCT(    (CapexCategory=$C32)*  (AO$3&gt;=CapexMonth) *  (AO$3&lt;=DeprecStop)  * CapexAmount)</f>
        <v>0</v>
      </c>
      <c r="AP32" s="130" cm="1">
        <f t="array" ref="AP32">SUMPRODUCT(    (CapexCategory=$C32)*  (AP$3&gt;=CapexMonth) *  (AP$3&lt;=DeprecStop)  * CapexAmount)</f>
        <v>0</v>
      </c>
      <c r="AQ32" s="130" cm="1">
        <f t="array" ref="AQ32">SUMPRODUCT(    (CapexCategory=$C32)*  (AQ$3&gt;=CapexMonth) *  (AQ$3&lt;=DeprecStop)  * CapexAmount)</f>
        <v>0</v>
      </c>
      <c r="AR32" s="130" cm="1">
        <f t="array" ref="AR32">SUMPRODUCT(    (CapexCategory=$C32)*  (AR$3&gt;=CapexMonth) *  (AR$3&lt;=DeprecStop)  * CapexAmount)</f>
        <v>0</v>
      </c>
      <c r="AS32" s="130" cm="1">
        <f t="array" ref="AS32">SUMPRODUCT(    (CapexCategory=$C32)*  (AS$3&gt;=CapexMonth) *  (AS$3&lt;=DeprecStop)  * CapexAmount)</f>
        <v>0</v>
      </c>
      <c r="AT32" s="128" cm="1">
        <f t="array" ref="AT32">SUMPRODUCT(    (CapexCategory=$C32)*  (AT$3&gt;=CapexMonth) *  (AT$3&lt;=DeprecStop)  * CapexAmount)</f>
        <v>0</v>
      </c>
      <c r="AU32" s="130" cm="1">
        <f t="array" ref="AU32">SUMPRODUCT(    (CapexCategory=$C32)*  (AU$3&gt;=CapexMonth) *  (AU$3&lt;=DeprecStop)  * CapexAmount)</f>
        <v>0</v>
      </c>
      <c r="AV32" s="130" cm="1">
        <f t="array" ref="AV32">SUMPRODUCT(    (CapexCategory=$C32)*  (AV$3&gt;=CapexMonth) *  (AV$3&lt;=DeprecStop)  * CapexAmount)</f>
        <v>0</v>
      </c>
      <c r="AW32" s="130" cm="1">
        <f t="array" ref="AW32">SUMPRODUCT(    (CapexCategory=$C32)*  (AW$3&gt;=CapexMonth) *  (AW$3&lt;=DeprecStop)  * CapexAmount)</f>
        <v>0</v>
      </c>
      <c r="AX32" s="130" cm="1">
        <f t="array" ref="AX32">SUMPRODUCT(    (CapexCategory=$C32)*  (AX$3&gt;=CapexMonth) *  (AX$3&lt;=DeprecStop)  * CapexAmount)</f>
        <v>0</v>
      </c>
      <c r="AY32" s="130" cm="1">
        <f t="array" ref="AY32">SUMPRODUCT(    (CapexCategory=$C32)*  (AY$3&gt;=CapexMonth) *  (AY$3&lt;=DeprecStop)  * CapexAmount)</f>
        <v>0</v>
      </c>
      <c r="AZ32" s="130" cm="1">
        <f t="array" ref="AZ32">SUMPRODUCT(    (CapexCategory=$C32)*  (AZ$3&gt;=CapexMonth) *  (AZ$3&lt;=DeprecStop)  * CapexAmount)</f>
        <v>0</v>
      </c>
      <c r="BA32" s="130" cm="1">
        <f t="array" ref="BA32">SUMPRODUCT(    (CapexCategory=$C32)*  (BA$3&gt;=CapexMonth) *  (BA$3&lt;=DeprecStop)  * CapexAmount)</f>
        <v>0</v>
      </c>
      <c r="BB32" s="130" cm="1">
        <f t="array" ref="BB32">SUMPRODUCT(    (CapexCategory=$C32)*  (BB$3&gt;=CapexMonth) *  (BB$3&lt;=DeprecStop)  * CapexAmount)</f>
        <v>0</v>
      </c>
      <c r="BC32" s="130" cm="1">
        <f t="array" ref="BC32">SUMPRODUCT(    (CapexCategory=$C32)*  (BC$3&gt;=CapexMonth) *  (BC$3&lt;=DeprecStop)  * CapexAmount)</f>
        <v>0</v>
      </c>
      <c r="BD32" s="130" cm="1">
        <f t="array" ref="BD32">SUMPRODUCT(    (CapexCategory=$C32)*  (BD$3&gt;=CapexMonth) *  (BD$3&lt;=DeprecStop)  * CapexAmount)</f>
        <v>0</v>
      </c>
      <c r="BE32" s="130" cm="1">
        <f t="array" ref="BE32">SUMPRODUCT(    (CapexCategory=$C32)*  (BE$3&gt;=CapexMonth) *  (BE$3&lt;=DeprecStop)  * CapexAmount)</f>
        <v>0</v>
      </c>
      <c r="BF32" s="128" cm="1">
        <f t="array" ref="BF32">SUMPRODUCT(    (CapexCategory=$C32)*  (BF$3&gt;=CapexMonth) *  (BF$3&lt;=DeprecStop)  * CapexAmount)</f>
        <v>0</v>
      </c>
      <c r="BG32" s="130" cm="1">
        <f t="array" ref="BG32">SUMPRODUCT(    (CapexCategory=$C32)*  (BG$3&gt;=CapexMonth) *  (BG$3&lt;=DeprecStop)  * CapexAmount)</f>
        <v>0</v>
      </c>
      <c r="BH32" s="130" cm="1">
        <f t="array" ref="BH32">SUMPRODUCT(    (CapexCategory=$C32)*  (BH$3&gt;=CapexMonth) *  (BH$3&lt;=DeprecStop)  * CapexAmount)</f>
        <v>0</v>
      </c>
      <c r="BI32" s="130" cm="1">
        <f t="array" ref="BI32">SUMPRODUCT(    (CapexCategory=$C32)*  (BI$3&gt;=CapexMonth) *  (BI$3&lt;=DeprecStop)  * CapexAmount)</f>
        <v>0</v>
      </c>
      <c r="BJ32" s="130" cm="1">
        <f t="array" ref="BJ32">SUMPRODUCT(    (CapexCategory=$C32)*  (BJ$3&gt;=CapexMonth) *  (BJ$3&lt;=DeprecStop)  * CapexAmount)</f>
        <v>0</v>
      </c>
      <c r="BK32" s="130" cm="1">
        <f t="array" ref="BK32">SUMPRODUCT(    (CapexCategory=$C32)*  (BK$3&gt;=CapexMonth) *  (BK$3&lt;=DeprecStop)  * CapexAmount)</f>
        <v>0</v>
      </c>
      <c r="BL32" s="130" cm="1">
        <f t="array" ref="BL32">SUMPRODUCT(    (CapexCategory=$C32)*  (BL$3&gt;=CapexMonth) *  (BL$3&lt;=DeprecStop)  * CapexAmount)</f>
        <v>0</v>
      </c>
      <c r="BM32" s="130" cm="1">
        <f t="array" ref="BM32">SUMPRODUCT(    (CapexCategory=$C32)*  (BM$3&gt;=CapexMonth) *  (BM$3&lt;=DeprecStop)  * CapexAmount)</f>
        <v>0</v>
      </c>
      <c r="BN32" s="130" cm="1">
        <f t="array" ref="BN32">SUMPRODUCT(    (CapexCategory=$C32)*  (BN$3&gt;=CapexMonth) *  (BN$3&lt;=DeprecStop)  * CapexAmount)</f>
        <v>0</v>
      </c>
      <c r="BO32" s="130" cm="1">
        <f t="array" ref="BO32">SUMPRODUCT(    (CapexCategory=$C32)*  (BO$3&gt;=CapexMonth) *  (BO$3&lt;=DeprecStop)  * CapexAmount)</f>
        <v>0</v>
      </c>
      <c r="BP32" s="130" cm="1">
        <f t="array" ref="BP32">SUMPRODUCT(    (CapexCategory=$C32)*  (BP$3&gt;=CapexMonth) *  (BP$3&lt;=DeprecStop)  * CapexAmount)</f>
        <v>0</v>
      </c>
      <c r="BQ32" s="130" cm="1">
        <f t="array" ref="BQ32">SUMPRODUCT(    (CapexCategory=$C32)*  (BQ$3&gt;=CapexMonth) *  (BQ$3&lt;=DeprecStop)  * CapexAmount)</f>
        <v>0</v>
      </c>
      <c r="BR32" s="128" cm="1">
        <f t="array" ref="BR32">SUMPRODUCT(    (CapexCategory=$C32)*  (BR$3&gt;=CapexMonth) *  (BR$3&lt;=DeprecStop)  * CapexAmount)</f>
        <v>0</v>
      </c>
    </row>
    <row r="33" spans="1:70" ht="13.2" hidden="1" x14ac:dyDescent="0.3">
      <c r="C33" s="61" t="s">
        <v>97</v>
      </c>
      <c r="D33" s="14"/>
      <c r="E33" s="176">
        <f t="shared" si="28"/>
        <v>50</v>
      </c>
      <c r="F33" s="176">
        <f t="shared" si="29"/>
        <v>50</v>
      </c>
      <c r="G33" s="176">
        <f t="shared" si="30"/>
        <v>50</v>
      </c>
      <c r="H33" s="176">
        <f t="shared" si="31"/>
        <v>50</v>
      </c>
      <c r="I33" s="176">
        <f t="shared" si="32"/>
        <v>50</v>
      </c>
      <c r="J33" s="129"/>
      <c r="K33" s="130" cm="1">
        <f t="array" ref="K33">SUMPRODUCT(    (CapexCategory=$C33)*  (K$3&gt;=CapexMonth) *  (K$3&lt;=DeprecStop)  * CapexAmount)</f>
        <v>0</v>
      </c>
      <c r="L33" s="130" cm="1">
        <f t="array" ref="L33">SUMPRODUCT(    (CapexCategory=$C33)*  (L$3&gt;=CapexMonth) * CapexAmount)</f>
        <v>0</v>
      </c>
      <c r="M33" s="130" cm="1">
        <f t="array" ref="M33">SUMPRODUCT(    (CapexCategory=$C33)*  (M$3&gt;=CapexMonth) * CapexAmount)</f>
        <v>50</v>
      </c>
      <c r="N33" s="130" cm="1">
        <f t="array" ref="N33">SUMPRODUCT(    (CapexCategory=$C33)*  (N$3&gt;=CapexMonth) * CapexAmount)</f>
        <v>50</v>
      </c>
      <c r="O33" s="130" cm="1">
        <f t="array" ref="O33">SUMPRODUCT(    (CapexCategory=$C33)*  (O$3&gt;=CapexMonth) * CapexAmount)</f>
        <v>50</v>
      </c>
      <c r="P33" s="130" cm="1">
        <f t="array" ref="P33">SUMPRODUCT(    (CapexCategory=$C33)*  (P$3&gt;=CapexMonth) * CapexAmount)</f>
        <v>50</v>
      </c>
      <c r="Q33" s="130" cm="1">
        <f t="array" ref="Q33">SUMPRODUCT(    (CapexCategory=$C33)*  (Q$3&gt;=CapexMonth) * CapexAmount)</f>
        <v>50</v>
      </c>
      <c r="R33" s="130" cm="1">
        <f t="array" ref="R33">SUMPRODUCT(    (CapexCategory=$C33)*  (R$3&gt;=CapexMonth) * CapexAmount)</f>
        <v>50</v>
      </c>
      <c r="S33" s="130" cm="1">
        <f t="array" ref="S33">SUMPRODUCT(    (CapexCategory=$C33)*  (S$3&gt;=CapexMonth) * CapexAmount)</f>
        <v>50</v>
      </c>
      <c r="T33" s="130" cm="1">
        <f t="array" ref="T33">SUMPRODUCT(    (CapexCategory=$C33)*  (T$3&gt;=CapexMonth) * CapexAmount)</f>
        <v>50</v>
      </c>
      <c r="U33" s="130" cm="1">
        <f t="array" ref="U33">SUMPRODUCT(    (CapexCategory=$C33)*  (U$3&gt;=CapexMonth) * CapexAmount)</f>
        <v>50</v>
      </c>
      <c r="V33" s="128" cm="1">
        <f t="array" ref="V33">SUMPRODUCT(    (CapexCategory=$C33)*  (V$3&gt;=CapexMonth) * CapexAmount)</f>
        <v>50</v>
      </c>
      <c r="W33" s="130" cm="1">
        <f t="array" ref="W33">SUMPRODUCT(    (CapexCategory=$C33)*  (W$3&gt;=CapexMonth) * CapexAmount)</f>
        <v>50</v>
      </c>
      <c r="X33" s="130" cm="1">
        <f t="array" ref="X33">SUMPRODUCT(    (CapexCategory=$C33)*  (X$3&gt;=CapexMonth) * CapexAmount)</f>
        <v>50</v>
      </c>
      <c r="Y33" s="130" cm="1">
        <f t="array" ref="Y33">SUMPRODUCT(    (CapexCategory=$C33)*  (Y$3&gt;=CapexMonth) * CapexAmount)</f>
        <v>50</v>
      </c>
      <c r="Z33" s="130" cm="1">
        <f t="array" ref="Z33">SUMPRODUCT(    (CapexCategory=$C33)*  (Z$3&gt;=CapexMonth) * CapexAmount)</f>
        <v>50</v>
      </c>
      <c r="AA33" s="130" cm="1">
        <f t="array" ref="AA33">SUMPRODUCT(    (CapexCategory=$C33)*  (AA$3&gt;=CapexMonth) * CapexAmount)</f>
        <v>50</v>
      </c>
      <c r="AB33" s="130" cm="1">
        <f t="array" ref="AB33">SUMPRODUCT(    (CapexCategory=$C33)*  (AB$3&gt;=CapexMonth) * CapexAmount)</f>
        <v>50</v>
      </c>
      <c r="AC33" s="130" cm="1">
        <f t="array" ref="AC33">SUMPRODUCT(    (CapexCategory=$C33)*  (AC$3&gt;=CapexMonth) * CapexAmount)</f>
        <v>50</v>
      </c>
      <c r="AD33" s="130" cm="1">
        <f t="array" ref="AD33">SUMPRODUCT(    (CapexCategory=$C33)*  (AD$3&gt;=CapexMonth) * CapexAmount)</f>
        <v>50</v>
      </c>
      <c r="AE33" s="130" cm="1">
        <f t="array" ref="AE33">SUMPRODUCT(    (CapexCategory=$C33)*  (AE$3&gt;=CapexMonth) * CapexAmount)</f>
        <v>50</v>
      </c>
      <c r="AF33" s="130" cm="1">
        <f t="array" ref="AF33">SUMPRODUCT(    (CapexCategory=$C33)*  (AF$3&gt;=CapexMonth) * CapexAmount)</f>
        <v>50</v>
      </c>
      <c r="AG33" s="130" cm="1">
        <f t="array" ref="AG33">SUMPRODUCT(    (CapexCategory=$C33)*  (AG$3&gt;=CapexMonth) * CapexAmount)</f>
        <v>50</v>
      </c>
      <c r="AH33" s="128" cm="1">
        <f t="array" ref="AH33">SUMPRODUCT(    (CapexCategory=$C33)*  (AH$3&gt;=CapexMonth) * CapexAmount)</f>
        <v>50</v>
      </c>
      <c r="AI33" s="130" cm="1">
        <f t="array" ref="AI33">SUMPRODUCT(    (CapexCategory=$C33)*  (AI$3&gt;=CapexMonth) * CapexAmount)</f>
        <v>50</v>
      </c>
      <c r="AJ33" s="130" cm="1">
        <f t="array" ref="AJ33">SUMPRODUCT(    (CapexCategory=$C33)*  (AJ$3&gt;=CapexMonth) * CapexAmount)</f>
        <v>50</v>
      </c>
      <c r="AK33" s="130" cm="1">
        <f t="array" ref="AK33">SUMPRODUCT(    (CapexCategory=$C33)*  (AK$3&gt;=CapexMonth) * CapexAmount)</f>
        <v>50</v>
      </c>
      <c r="AL33" s="130" cm="1">
        <f t="array" ref="AL33">SUMPRODUCT(    (CapexCategory=$C33)*  (AL$3&gt;=CapexMonth) * CapexAmount)</f>
        <v>50</v>
      </c>
      <c r="AM33" s="130" cm="1">
        <f t="array" ref="AM33">SUMPRODUCT(    (CapexCategory=$C33)*  (AM$3&gt;=CapexMonth) * CapexAmount)</f>
        <v>50</v>
      </c>
      <c r="AN33" s="130" cm="1">
        <f t="array" ref="AN33">SUMPRODUCT(    (CapexCategory=$C33)*  (AN$3&gt;=CapexMonth) * CapexAmount)</f>
        <v>50</v>
      </c>
      <c r="AO33" s="130" cm="1">
        <f t="array" ref="AO33">SUMPRODUCT(    (CapexCategory=$C33)*  (AO$3&gt;=CapexMonth) * CapexAmount)</f>
        <v>50</v>
      </c>
      <c r="AP33" s="130" cm="1">
        <f t="array" ref="AP33">SUMPRODUCT(    (CapexCategory=$C33)*  (AP$3&gt;=CapexMonth) * CapexAmount)</f>
        <v>50</v>
      </c>
      <c r="AQ33" s="130" cm="1">
        <f t="array" ref="AQ33">SUMPRODUCT(    (CapexCategory=$C33)*  (AQ$3&gt;=CapexMonth) * CapexAmount)</f>
        <v>50</v>
      </c>
      <c r="AR33" s="130" cm="1">
        <f t="array" ref="AR33">SUMPRODUCT(    (CapexCategory=$C33)*  (AR$3&gt;=CapexMonth) * CapexAmount)</f>
        <v>50</v>
      </c>
      <c r="AS33" s="130" cm="1">
        <f t="array" ref="AS33">SUMPRODUCT(    (CapexCategory=$C33)*  (AS$3&gt;=CapexMonth) * CapexAmount)</f>
        <v>50</v>
      </c>
      <c r="AT33" s="128" cm="1">
        <f t="array" ref="AT33">SUMPRODUCT(    (CapexCategory=$C33)*  (AT$3&gt;=CapexMonth) * CapexAmount)</f>
        <v>50</v>
      </c>
      <c r="AU33" s="130" cm="1">
        <f t="array" ref="AU33">SUMPRODUCT(    (CapexCategory=$C33)*  (AU$3&gt;=CapexMonth) * CapexAmount)</f>
        <v>50</v>
      </c>
      <c r="AV33" s="130" cm="1">
        <f t="array" ref="AV33">SUMPRODUCT(    (CapexCategory=$C33)*  (AV$3&gt;=CapexMonth) * CapexAmount)</f>
        <v>50</v>
      </c>
      <c r="AW33" s="130" cm="1">
        <f t="array" ref="AW33">SUMPRODUCT(    (CapexCategory=$C33)*  (AW$3&gt;=CapexMonth) * CapexAmount)</f>
        <v>50</v>
      </c>
      <c r="AX33" s="130" cm="1">
        <f t="array" ref="AX33">SUMPRODUCT(    (CapexCategory=$C33)*  (AX$3&gt;=CapexMonth) * CapexAmount)</f>
        <v>50</v>
      </c>
      <c r="AY33" s="130" cm="1">
        <f t="array" ref="AY33">SUMPRODUCT(    (CapexCategory=$C33)*  (AY$3&gt;=CapexMonth) * CapexAmount)</f>
        <v>50</v>
      </c>
      <c r="AZ33" s="130" cm="1">
        <f t="array" ref="AZ33">SUMPRODUCT(    (CapexCategory=$C33)*  (AZ$3&gt;=CapexMonth) * CapexAmount)</f>
        <v>50</v>
      </c>
      <c r="BA33" s="130" cm="1">
        <f t="array" ref="BA33">SUMPRODUCT(    (CapexCategory=$C33)*  (BA$3&gt;=CapexMonth) * CapexAmount)</f>
        <v>50</v>
      </c>
      <c r="BB33" s="130" cm="1">
        <f t="array" ref="BB33">SUMPRODUCT(    (CapexCategory=$C33)*  (BB$3&gt;=CapexMonth) * CapexAmount)</f>
        <v>50</v>
      </c>
      <c r="BC33" s="130" cm="1">
        <f t="array" ref="BC33">SUMPRODUCT(    (CapexCategory=$C33)*  (BC$3&gt;=CapexMonth) * CapexAmount)</f>
        <v>50</v>
      </c>
      <c r="BD33" s="130" cm="1">
        <f t="array" ref="BD33">SUMPRODUCT(    (CapexCategory=$C33)*  (BD$3&gt;=CapexMonth) * CapexAmount)</f>
        <v>50</v>
      </c>
      <c r="BE33" s="130" cm="1">
        <f t="array" ref="BE33">SUMPRODUCT(    (CapexCategory=$C33)*  (BE$3&gt;=CapexMonth) * CapexAmount)</f>
        <v>50</v>
      </c>
      <c r="BF33" s="128" cm="1">
        <f t="array" ref="BF33">SUMPRODUCT(    (CapexCategory=$C33)*  (BF$3&gt;=CapexMonth) * CapexAmount)</f>
        <v>50</v>
      </c>
      <c r="BG33" s="130" cm="1">
        <f t="array" ref="BG33">SUMPRODUCT(    (CapexCategory=$C33)*  (BG$3&gt;=CapexMonth) * CapexAmount)</f>
        <v>50</v>
      </c>
      <c r="BH33" s="130" cm="1">
        <f t="array" ref="BH33">SUMPRODUCT(    (CapexCategory=$C33)*  (BH$3&gt;=CapexMonth) * CapexAmount)</f>
        <v>50</v>
      </c>
      <c r="BI33" s="130" cm="1">
        <f t="array" ref="BI33">SUMPRODUCT(    (CapexCategory=$C33)*  (BI$3&gt;=CapexMonth) * CapexAmount)</f>
        <v>50</v>
      </c>
      <c r="BJ33" s="130" cm="1">
        <f t="array" ref="BJ33">SUMPRODUCT(    (CapexCategory=$C33)*  (BJ$3&gt;=CapexMonth) * CapexAmount)</f>
        <v>50</v>
      </c>
      <c r="BK33" s="130" cm="1">
        <f t="array" ref="BK33">SUMPRODUCT(    (CapexCategory=$C33)*  (BK$3&gt;=CapexMonth) * CapexAmount)</f>
        <v>50</v>
      </c>
      <c r="BL33" s="130" cm="1">
        <f t="array" ref="BL33">SUMPRODUCT(    (CapexCategory=$C33)*  (BL$3&gt;=CapexMonth) * CapexAmount)</f>
        <v>50</v>
      </c>
      <c r="BM33" s="130" cm="1">
        <f t="array" ref="BM33">SUMPRODUCT(    (CapexCategory=$C33)*  (BM$3&gt;=CapexMonth) * CapexAmount)</f>
        <v>50</v>
      </c>
      <c r="BN33" s="130" cm="1">
        <f t="array" ref="BN33">SUMPRODUCT(    (CapexCategory=$C33)*  (BN$3&gt;=CapexMonth) * CapexAmount)</f>
        <v>50</v>
      </c>
      <c r="BO33" s="130" cm="1">
        <f t="array" ref="BO33">SUMPRODUCT(    (CapexCategory=$C33)*  (BO$3&gt;=CapexMonth) * CapexAmount)</f>
        <v>50</v>
      </c>
      <c r="BP33" s="130" cm="1">
        <f t="array" ref="BP33">SUMPRODUCT(    (CapexCategory=$C33)*  (BP$3&gt;=CapexMonth) * CapexAmount)</f>
        <v>50</v>
      </c>
      <c r="BQ33" s="130" cm="1">
        <f t="array" ref="BQ33">SUMPRODUCT(    (CapexCategory=$C33)*  (BQ$3&gt;=CapexMonth) * CapexAmount)</f>
        <v>50</v>
      </c>
      <c r="BR33" s="128" cm="1">
        <f t="array" ref="BR33">SUMPRODUCT(    (CapexCategory=$C33)*  (BR$3&gt;=CapexMonth) * CapexAmount)</f>
        <v>50</v>
      </c>
    </row>
    <row r="34" spans="1:70" ht="13.2" hidden="1" x14ac:dyDescent="0.3">
      <c r="C34" s="111" t="s">
        <v>98</v>
      </c>
      <c r="D34" s="14"/>
      <c r="E34" s="112">
        <f t="shared" si="28"/>
        <v>0</v>
      </c>
      <c r="F34" s="112">
        <f t="shared" si="29"/>
        <v>0</v>
      </c>
      <c r="G34" s="112">
        <f t="shared" si="30"/>
        <v>0</v>
      </c>
      <c r="H34" s="112">
        <f t="shared" si="31"/>
        <v>0</v>
      </c>
      <c r="I34" s="112">
        <f t="shared" si="32"/>
        <v>0</v>
      </c>
      <c r="J34" s="129"/>
      <c r="K34" s="99" cm="1">
        <f t="array" ref="K34">SUMPRODUCT(   ((ISBLANK(CapexCategory) + (CapexCategory="Other"))&gt;0)  *  (K$3&gt;=CapexMonth) *  (K$3&lt;=DeprecStop) * CapexAmount)</f>
        <v>0</v>
      </c>
      <c r="L34" s="99" cm="1">
        <f t="array" ref="L34">SUMPRODUCT(   ((ISBLANK(CapexCategory) + (CapexCategory="Other"))&gt;0)  *  (L$3&gt;=CapexMonth) *  (L$3&lt;=DeprecStop) * CapexAmount)</f>
        <v>0</v>
      </c>
      <c r="M34" s="99" cm="1">
        <f t="array" ref="M34">SUMPRODUCT(   ((ISBLANK(CapexCategory) + (CapexCategory="Other"))&gt;0)  *  (M$3&gt;=CapexMonth) *  (M$3&lt;=DeprecStop) * CapexAmount)</f>
        <v>0</v>
      </c>
      <c r="N34" s="99" cm="1">
        <f t="array" ref="N34">SUMPRODUCT(   ((ISBLANK(CapexCategory) + (CapexCategory="Other"))&gt;0)  *  (N$3&gt;=CapexMonth) *  (N$3&lt;=DeprecStop) * CapexAmount)</f>
        <v>0</v>
      </c>
      <c r="O34" s="99" cm="1">
        <f t="array" ref="O34">SUMPRODUCT(   ((ISBLANK(CapexCategory) + (CapexCategory="Other"))&gt;0)  *  (O$3&gt;=CapexMonth) *  (O$3&lt;=DeprecStop) * CapexAmount)</f>
        <v>0</v>
      </c>
      <c r="P34" s="99" cm="1">
        <f t="array" ref="P34">SUMPRODUCT(   ((ISBLANK(CapexCategory) + (CapexCategory="Other"))&gt;0)  *  (P$3&gt;=CapexMonth) *  (P$3&lt;=DeprecStop) * CapexAmount)</f>
        <v>0</v>
      </c>
      <c r="Q34" s="99" cm="1">
        <f t="array" ref="Q34">SUMPRODUCT(   ((ISBLANK(CapexCategory) + (CapexCategory="Other"))&gt;0)  *  (Q$3&gt;=CapexMonth) *  (Q$3&lt;=DeprecStop) * CapexAmount)</f>
        <v>0</v>
      </c>
      <c r="R34" s="99" cm="1">
        <f t="array" ref="R34">SUMPRODUCT(   ((ISBLANK(CapexCategory) + (CapexCategory="Other"))&gt;0)  *  (R$3&gt;=CapexMonth) *  (R$3&lt;=DeprecStop) * CapexAmount)</f>
        <v>0</v>
      </c>
      <c r="S34" s="99" cm="1">
        <f t="array" ref="S34">SUMPRODUCT(   ((ISBLANK(CapexCategory) + (CapexCategory="Other"))&gt;0)  *  (S$3&gt;=CapexMonth) *  (S$3&lt;=DeprecStop) * CapexAmount)</f>
        <v>0</v>
      </c>
      <c r="T34" s="99" cm="1">
        <f t="array" ref="T34">SUMPRODUCT(   ((ISBLANK(CapexCategory) + (CapexCategory="Other"))&gt;0)  *  (T$3&gt;=CapexMonth) *  (T$3&lt;=DeprecStop) * CapexAmount)</f>
        <v>0</v>
      </c>
      <c r="U34" s="99" cm="1">
        <f t="array" ref="U34">SUMPRODUCT(   ((ISBLANK(CapexCategory) + (CapexCategory="Other"))&gt;0)  *  (U$3&gt;=CapexMonth) *  (U$3&lt;=DeprecStop) * CapexAmount)</f>
        <v>0</v>
      </c>
      <c r="V34" s="112" cm="1">
        <f t="array" ref="V34">SUMPRODUCT(   ((ISBLANK(CapexCategory) + (CapexCategory="Other"))&gt;0)  *  (V$3&gt;=CapexMonth) *  (V$3&lt;=DeprecStop) * CapexAmount)</f>
        <v>0</v>
      </c>
      <c r="W34" s="99" cm="1">
        <f t="array" ref="W34">SUMPRODUCT(   ((ISBLANK(CapexCategory) + (CapexCategory="Other"))&gt;0)  *  (W$3&gt;=CapexMonth) *  (W$3&lt;=DeprecStop) * CapexAmount)</f>
        <v>0</v>
      </c>
      <c r="X34" s="99" cm="1">
        <f t="array" ref="X34">SUMPRODUCT(   ((ISBLANK(CapexCategory) + (CapexCategory="Other"))&gt;0)  *  (X$3&gt;=CapexMonth) *  (X$3&lt;=DeprecStop) * CapexAmount)</f>
        <v>0</v>
      </c>
      <c r="Y34" s="99" cm="1">
        <f t="array" ref="Y34">SUMPRODUCT(   ((ISBLANK(CapexCategory) + (CapexCategory="Other"))&gt;0)  *  (Y$3&gt;=CapexMonth) *  (Y$3&lt;=DeprecStop) * CapexAmount)</f>
        <v>0</v>
      </c>
      <c r="Z34" s="99" cm="1">
        <f t="array" ref="Z34">SUMPRODUCT(   ((ISBLANK(CapexCategory) + (CapexCategory="Other"))&gt;0)  *  (Z$3&gt;=CapexMonth) *  (Z$3&lt;=DeprecStop) * CapexAmount)</f>
        <v>0</v>
      </c>
      <c r="AA34" s="99" cm="1">
        <f t="array" ref="AA34">SUMPRODUCT(   ((ISBLANK(CapexCategory) + (CapexCategory="Other"))&gt;0)  *  (AA$3&gt;=CapexMonth) *  (AA$3&lt;=DeprecStop) * CapexAmount)</f>
        <v>0</v>
      </c>
      <c r="AB34" s="99" cm="1">
        <f t="array" ref="AB34">SUMPRODUCT(   ((ISBLANK(CapexCategory) + (CapexCategory="Other"))&gt;0)  *  (AB$3&gt;=CapexMonth) *  (AB$3&lt;=DeprecStop) * CapexAmount)</f>
        <v>0</v>
      </c>
      <c r="AC34" s="99" cm="1">
        <f t="array" ref="AC34">SUMPRODUCT(   ((ISBLANK(CapexCategory) + (CapexCategory="Other"))&gt;0)  *  (AC$3&gt;=CapexMonth) *  (AC$3&lt;=DeprecStop) * CapexAmount)</f>
        <v>0</v>
      </c>
      <c r="AD34" s="99" cm="1">
        <f t="array" ref="AD34">SUMPRODUCT(   ((ISBLANK(CapexCategory) + (CapexCategory="Other"))&gt;0)  *  (AD$3&gt;=CapexMonth) *  (AD$3&lt;=DeprecStop) * CapexAmount)</f>
        <v>0</v>
      </c>
      <c r="AE34" s="99" cm="1">
        <f t="array" ref="AE34">SUMPRODUCT(   ((ISBLANK(CapexCategory) + (CapexCategory="Other"))&gt;0)  *  (AE$3&gt;=CapexMonth) *  (AE$3&lt;=DeprecStop) * CapexAmount)</f>
        <v>0</v>
      </c>
      <c r="AF34" s="99" cm="1">
        <f t="array" ref="AF34">SUMPRODUCT(   ((ISBLANK(CapexCategory) + (CapexCategory="Other"))&gt;0)  *  (AF$3&gt;=CapexMonth) *  (AF$3&lt;=DeprecStop) * CapexAmount)</f>
        <v>0</v>
      </c>
      <c r="AG34" s="99" cm="1">
        <f t="array" ref="AG34">SUMPRODUCT(   ((ISBLANK(CapexCategory) + (CapexCategory="Other"))&gt;0)  *  (AG$3&gt;=CapexMonth) *  (AG$3&lt;=DeprecStop) * CapexAmount)</f>
        <v>0</v>
      </c>
      <c r="AH34" s="112" cm="1">
        <f t="array" ref="AH34">SUMPRODUCT(   ((ISBLANK(CapexCategory) + (CapexCategory="Other"))&gt;0)  *  (AH$3&gt;=CapexMonth) *  (AH$3&lt;=DeprecStop) * CapexAmount)</f>
        <v>0</v>
      </c>
      <c r="AI34" s="99" cm="1">
        <f t="array" ref="AI34">SUMPRODUCT(   ((ISBLANK(CapexCategory) + (CapexCategory="Other"))&gt;0)  *  (AI$3&gt;=CapexMonth) *  (AI$3&lt;=DeprecStop) * CapexAmount)</f>
        <v>0</v>
      </c>
      <c r="AJ34" s="99" cm="1">
        <f t="array" ref="AJ34">SUMPRODUCT(   ((ISBLANK(CapexCategory) + (CapexCategory="Other"))&gt;0)  *  (AJ$3&gt;=CapexMonth) *  (AJ$3&lt;=DeprecStop) * CapexAmount)</f>
        <v>0</v>
      </c>
      <c r="AK34" s="99" cm="1">
        <f t="array" ref="AK34">SUMPRODUCT(   ((ISBLANK(CapexCategory) + (CapexCategory="Other"))&gt;0)  *  (AK$3&gt;=CapexMonth) *  (AK$3&lt;=DeprecStop) * CapexAmount)</f>
        <v>0</v>
      </c>
      <c r="AL34" s="99" cm="1">
        <f t="array" ref="AL34">SUMPRODUCT(   ((ISBLANK(CapexCategory) + (CapexCategory="Other"))&gt;0)  *  (AL$3&gt;=CapexMonth) *  (AL$3&lt;=DeprecStop) * CapexAmount)</f>
        <v>0</v>
      </c>
      <c r="AM34" s="99" cm="1">
        <f t="array" ref="AM34">SUMPRODUCT(   ((ISBLANK(CapexCategory) + (CapexCategory="Other"))&gt;0)  *  (AM$3&gt;=CapexMonth) *  (AM$3&lt;=DeprecStop) * CapexAmount)</f>
        <v>0</v>
      </c>
      <c r="AN34" s="99" cm="1">
        <f t="array" ref="AN34">SUMPRODUCT(   ((ISBLANK(CapexCategory) + (CapexCategory="Other"))&gt;0)  *  (AN$3&gt;=CapexMonth) *  (AN$3&lt;=DeprecStop) * CapexAmount)</f>
        <v>0</v>
      </c>
      <c r="AO34" s="99" cm="1">
        <f t="array" ref="AO34">SUMPRODUCT(   ((ISBLANK(CapexCategory) + (CapexCategory="Other"))&gt;0)  *  (AO$3&gt;=CapexMonth) *  (AO$3&lt;=DeprecStop) * CapexAmount)</f>
        <v>0</v>
      </c>
      <c r="AP34" s="99" cm="1">
        <f t="array" ref="AP34">SUMPRODUCT(   ((ISBLANK(CapexCategory) + (CapexCategory="Other"))&gt;0)  *  (AP$3&gt;=CapexMonth) *  (AP$3&lt;=DeprecStop) * CapexAmount)</f>
        <v>0</v>
      </c>
      <c r="AQ34" s="99" cm="1">
        <f t="array" ref="AQ34">SUMPRODUCT(   ((ISBLANK(CapexCategory) + (CapexCategory="Other"))&gt;0)  *  (AQ$3&gt;=CapexMonth) *  (AQ$3&lt;=DeprecStop) * CapexAmount)</f>
        <v>0</v>
      </c>
      <c r="AR34" s="99" cm="1">
        <f t="array" ref="AR34">SUMPRODUCT(   ((ISBLANK(CapexCategory) + (CapexCategory="Other"))&gt;0)  *  (AR$3&gt;=CapexMonth) *  (AR$3&lt;=DeprecStop) * CapexAmount)</f>
        <v>0</v>
      </c>
      <c r="AS34" s="99" cm="1">
        <f t="array" ref="AS34">SUMPRODUCT(   ((ISBLANK(CapexCategory) + (CapexCategory="Other"))&gt;0)  *  (AS$3&gt;=CapexMonth) *  (AS$3&lt;=DeprecStop) * CapexAmount)</f>
        <v>0</v>
      </c>
      <c r="AT34" s="112" cm="1">
        <f t="array" ref="AT34">SUMPRODUCT(   ((ISBLANK(CapexCategory) + (CapexCategory="Other"))&gt;0)  *  (AT$3&gt;=CapexMonth) *  (AT$3&lt;=DeprecStop) * CapexAmount)</f>
        <v>0</v>
      </c>
      <c r="AU34" s="99" cm="1">
        <f t="array" ref="AU34">SUMPRODUCT(   ((ISBLANK(CapexCategory) + (CapexCategory="Other"))&gt;0)  *  (AU$3&gt;=CapexMonth) *  (AU$3&lt;=DeprecStop) * CapexAmount)</f>
        <v>0</v>
      </c>
      <c r="AV34" s="99" cm="1">
        <f t="array" ref="AV34">SUMPRODUCT(   ((ISBLANK(CapexCategory) + (CapexCategory="Other"))&gt;0)  *  (AV$3&gt;=CapexMonth) *  (AV$3&lt;=DeprecStop) * CapexAmount)</f>
        <v>0</v>
      </c>
      <c r="AW34" s="99" cm="1">
        <f t="array" ref="AW34">SUMPRODUCT(   ((ISBLANK(CapexCategory) + (CapexCategory="Other"))&gt;0)  *  (AW$3&gt;=CapexMonth) *  (AW$3&lt;=DeprecStop) * CapexAmount)</f>
        <v>0</v>
      </c>
      <c r="AX34" s="99" cm="1">
        <f t="array" ref="AX34">SUMPRODUCT(   ((ISBLANK(CapexCategory) + (CapexCategory="Other"))&gt;0)  *  (AX$3&gt;=CapexMonth) *  (AX$3&lt;=DeprecStop) * CapexAmount)</f>
        <v>0</v>
      </c>
      <c r="AY34" s="99" cm="1">
        <f t="array" ref="AY34">SUMPRODUCT(   ((ISBLANK(CapexCategory) + (CapexCategory="Other"))&gt;0)  *  (AY$3&gt;=CapexMonth) *  (AY$3&lt;=DeprecStop) * CapexAmount)</f>
        <v>0</v>
      </c>
      <c r="AZ34" s="99" cm="1">
        <f t="array" ref="AZ34">SUMPRODUCT(   ((ISBLANK(CapexCategory) + (CapexCategory="Other"))&gt;0)  *  (AZ$3&gt;=CapexMonth) *  (AZ$3&lt;=DeprecStop) * CapexAmount)</f>
        <v>0</v>
      </c>
      <c r="BA34" s="99" cm="1">
        <f t="array" ref="BA34">SUMPRODUCT(   ((ISBLANK(CapexCategory) + (CapexCategory="Other"))&gt;0)  *  (BA$3&gt;=CapexMonth) *  (BA$3&lt;=DeprecStop) * CapexAmount)</f>
        <v>0</v>
      </c>
      <c r="BB34" s="99" cm="1">
        <f t="array" ref="BB34">SUMPRODUCT(   ((ISBLANK(CapexCategory) + (CapexCategory="Other"))&gt;0)  *  (BB$3&gt;=CapexMonth) *  (BB$3&lt;=DeprecStop) * CapexAmount)</f>
        <v>0</v>
      </c>
      <c r="BC34" s="99" cm="1">
        <f t="array" ref="BC34">SUMPRODUCT(   ((ISBLANK(CapexCategory) + (CapexCategory="Other"))&gt;0)  *  (BC$3&gt;=CapexMonth) *  (BC$3&lt;=DeprecStop) * CapexAmount)</f>
        <v>0</v>
      </c>
      <c r="BD34" s="99" cm="1">
        <f t="array" ref="BD34">SUMPRODUCT(   ((ISBLANK(CapexCategory) + (CapexCategory="Other"))&gt;0)  *  (BD$3&gt;=CapexMonth) *  (BD$3&lt;=DeprecStop) * CapexAmount)</f>
        <v>0</v>
      </c>
      <c r="BE34" s="99" cm="1">
        <f t="array" ref="BE34">SUMPRODUCT(   ((ISBLANK(CapexCategory) + (CapexCategory="Other"))&gt;0)  *  (BE$3&gt;=CapexMonth) *  (BE$3&lt;=DeprecStop) * CapexAmount)</f>
        <v>0</v>
      </c>
      <c r="BF34" s="112" cm="1">
        <f t="array" ref="BF34">SUMPRODUCT(   ((ISBLANK(CapexCategory) + (CapexCategory="Other"))&gt;0)  *  (BF$3&gt;=CapexMonth) *  (BF$3&lt;=DeprecStop) * CapexAmount)</f>
        <v>0</v>
      </c>
      <c r="BG34" s="99" cm="1">
        <f t="array" ref="BG34">SUMPRODUCT(   ((ISBLANK(CapexCategory) + (CapexCategory="Other"))&gt;0)  *  (BG$3&gt;=CapexMonth) *  (BG$3&lt;=DeprecStop) * CapexAmount)</f>
        <v>0</v>
      </c>
      <c r="BH34" s="99" cm="1">
        <f t="array" ref="BH34">SUMPRODUCT(   ((ISBLANK(CapexCategory) + (CapexCategory="Other"))&gt;0)  *  (BH$3&gt;=CapexMonth) *  (BH$3&lt;=DeprecStop) * CapexAmount)</f>
        <v>0</v>
      </c>
      <c r="BI34" s="99" cm="1">
        <f t="array" ref="BI34">SUMPRODUCT(   ((ISBLANK(CapexCategory) + (CapexCategory="Other"))&gt;0)  *  (BI$3&gt;=CapexMonth) *  (BI$3&lt;=DeprecStop) * CapexAmount)</f>
        <v>0</v>
      </c>
      <c r="BJ34" s="99" cm="1">
        <f t="array" ref="BJ34">SUMPRODUCT(   ((ISBLANK(CapexCategory) + (CapexCategory="Other"))&gt;0)  *  (BJ$3&gt;=CapexMonth) *  (BJ$3&lt;=DeprecStop) * CapexAmount)</f>
        <v>0</v>
      </c>
      <c r="BK34" s="99" cm="1">
        <f t="array" ref="BK34">SUMPRODUCT(   ((ISBLANK(CapexCategory) + (CapexCategory="Other"))&gt;0)  *  (BK$3&gt;=CapexMonth) *  (BK$3&lt;=DeprecStop) * CapexAmount)</f>
        <v>0</v>
      </c>
      <c r="BL34" s="99" cm="1">
        <f t="array" ref="BL34">SUMPRODUCT(   ((ISBLANK(CapexCategory) + (CapexCategory="Other"))&gt;0)  *  (BL$3&gt;=CapexMonth) *  (BL$3&lt;=DeprecStop) * CapexAmount)</f>
        <v>0</v>
      </c>
      <c r="BM34" s="99" cm="1">
        <f t="array" ref="BM34">SUMPRODUCT(   ((ISBLANK(CapexCategory) + (CapexCategory="Other"))&gt;0)  *  (BM$3&gt;=CapexMonth) *  (BM$3&lt;=DeprecStop) * CapexAmount)</f>
        <v>0</v>
      </c>
      <c r="BN34" s="99" cm="1">
        <f t="array" ref="BN34">SUMPRODUCT(   ((ISBLANK(CapexCategory) + (CapexCategory="Other"))&gt;0)  *  (BN$3&gt;=CapexMonth) *  (BN$3&lt;=DeprecStop) * CapexAmount)</f>
        <v>0</v>
      </c>
      <c r="BO34" s="99" cm="1">
        <f t="array" ref="BO34">SUMPRODUCT(   ((ISBLANK(CapexCategory) + (CapexCategory="Other"))&gt;0)  *  (BO$3&gt;=CapexMonth) *  (BO$3&lt;=DeprecStop) * CapexAmount)</f>
        <v>0</v>
      </c>
      <c r="BP34" s="99" cm="1">
        <f t="array" ref="BP34">SUMPRODUCT(   ((ISBLANK(CapexCategory) + (CapexCategory="Other"))&gt;0)  *  (BP$3&gt;=CapexMonth) *  (BP$3&lt;=DeprecStop) * CapexAmount)</f>
        <v>0</v>
      </c>
      <c r="BQ34" s="99" cm="1">
        <f t="array" ref="BQ34">SUMPRODUCT(   ((ISBLANK(CapexCategory) + (CapexCategory="Other"))&gt;0)  *  (BQ$3&gt;=CapexMonth) *  (BQ$3&lt;=DeprecStop) * CapexAmount)</f>
        <v>0</v>
      </c>
      <c r="BR34" s="112" cm="1">
        <f t="array" ref="BR34">SUMPRODUCT(   ((ISBLANK(CapexCategory) + (CapexCategory="Other"))&gt;0)  *  (BR$3&gt;=CapexMonth) *  (BR$3&lt;=DeprecStop) * CapexAmount)</f>
        <v>0</v>
      </c>
    </row>
    <row r="35" spans="1:70" s="49" customFormat="1" ht="13.2" hidden="1" x14ac:dyDescent="0.3">
      <c r="A35" s="37"/>
      <c r="B35" s="13"/>
      <c r="C35" s="49" t="s">
        <v>17</v>
      </c>
      <c r="D35" s="77"/>
      <c r="E35" s="96">
        <f t="shared" si="28"/>
        <v>150</v>
      </c>
      <c r="F35" s="96">
        <f t="shared" si="29"/>
        <v>50</v>
      </c>
      <c r="G35" s="96">
        <f t="shared" si="30"/>
        <v>50</v>
      </c>
      <c r="H35" s="96">
        <f t="shared" si="31"/>
        <v>50</v>
      </c>
      <c r="I35" s="96">
        <f t="shared" si="32"/>
        <v>50</v>
      </c>
      <c r="J35" s="129"/>
      <c r="K35" s="97">
        <f t="shared" ref="K35:BR35" si="33">SUM(K29:K34)</f>
        <v>4</v>
      </c>
      <c r="L35" s="97">
        <f t="shared" si="33"/>
        <v>4</v>
      </c>
      <c r="M35" s="97">
        <f t="shared" si="33"/>
        <v>54</v>
      </c>
      <c r="N35" s="97">
        <f t="shared" si="33"/>
        <v>54</v>
      </c>
      <c r="O35" s="97">
        <f t="shared" si="33"/>
        <v>54</v>
      </c>
      <c r="P35" s="97">
        <f t="shared" si="33"/>
        <v>154</v>
      </c>
      <c r="Q35" s="97">
        <f t="shared" si="33"/>
        <v>154</v>
      </c>
      <c r="R35" s="97">
        <f t="shared" si="33"/>
        <v>154</v>
      </c>
      <c r="S35" s="97">
        <f t="shared" si="33"/>
        <v>154</v>
      </c>
      <c r="T35" s="97">
        <f t="shared" si="33"/>
        <v>154</v>
      </c>
      <c r="U35" s="97">
        <f t="shared" si="33"/>
        <v>150</v>
      </c>
      <c r="V35" s="96">
        <f t="shared" si="33"/>
        <v>150</v>
      </c>
      <c r="W35" s="97">
        <f t="shared" si="33"/>
        <v>150</v>
      </c>
      <c r="X35" s="97">
        <f t="shared" si="33"/>
        <v>150</v>
      </c>
      <c r="Y35" s="97">
        <f t="shared" si="33"/>
        <v>150</v>
      </c>
      <c r="Z35" s="97">
        <f t="shared" si="33"/>
        <v>150</v>
      </c>
      <c r="AA35" s="97">
        <f t="shared" si="33"/>
        <v>150</v>
      </c>
      <c r="AB35" s="97">
        <f t="shared" si="33"/>
        <v>150</v>
      </c>
      <c r="AC35" s="97">
        <f t="shared" si="33"/>
        <v>150</v>
      </c>
      <c r="AD35" s="97">
        <f t="shared" si="33"/>
        <v>50</v>
      </c>
      <c r="AE35" s="97">
        <f t="shared" si="33"/>
        <v>50</v>
      </c>
      <c r="AF35" s="97">
        <f t="shared" si="33"/>
        <v>50</v>
      </c>
      <c r="AG35" s="97">
        <f t="shared" si="33"/>
        <v>50</v>
      </c>
      <c r="AH35" s="96">
        <f t="shared" si="33"/>
        <v>50</v>
      </c>
      <c r="AI35" s="97">
        <f t="shared" si="33"/>
        <v>50</v>
      </c>
      <c r="AJ35" s="97">
        <f t="shared" si="33"/>
        <v>50</v>
      </c>
      <c r="AK35" s="97">
        <f t="shared" si="33"/>
        <v>50</v>
      </c>
      <c r="AL35" s="97">
        <f t="shared" si="33"/>
        <v>50</v>
      </c>
      <c r="AM35" s="97">
        <f t="shared" si="33"/>
        <v>50</v>
      </c>
      <c r="AN35" s="97">
        <f t="shared" si="33"/>
        <v>50</v>
      </c>
      <c r="AO35" s="97">
        <f t="shared" si="33"/>
        <v>50</v>
      </c>
      <c r="AP35" s="97">
        <f t="shared" si="33"/>
        <v>50</v>
      </c>
      <c r="AQ35" s="97">
        <f t="shared" si="33"/>
        <v>50</v>
      </c>
      <c r="AR35" s="97">
        <f t="shared" si="33"/>
        <v>50</v>
      </c>
      <c r="AS35" s="97">
        <f t="shared" si="33"/>
        <v>50</v>
      </c>
      <c r="AT35" s="96">
        <f t="shared" si="33"/>
        <v>50</v>
      </c>
      <c r="AU35" s="97">
        <f t="shared" si="33"/>
        <v>50</v>
      </c>
      <c r="AV35" s="97">
        <f t="shared" si="33"/>
        <v>50</v>
      </c>
      <c r="AW35" s="97">
        <f t="shared" si="33"/>
        <v>50</v>
      </c>
      <c r="AX35" s="97">
        <f t="shared" si="33"/>
        <v>50</v>
      </c>
      <c r="AY35" s="97">
        <f t="shared" si="33"/>
        <v>50</v>
      </c>
      <c r="AZ35" s="97">
        <f t="shared" si="33"/>
        <v>50</v>
      </c>
      <c r="BA35" s="97">
        <f t="shared" si="33"/>
        <v>50</v>
      </c>
      <c r="BB35" s="97">
        <f t="shared" si="33"/>
        <v>50</v>
      </c>
      <c r="BC35" s="97">
        <f t="shared" si="33"/>
        <v>50</v>
      </c>
      <c r="BD35" s="97">
        <f t="shared" si="33"/>
        <v>50</v>
      </c>
      <c r="BE35" s="97">
        <f t="shared" si="33"/>
        <v>50</v>
      </c>
      <c r="BF35" s="96">
        <f t="shared" si="33"/>
        <v>50</v>
      </c>
      <c r="BG35" s="97">
        <f t="shared" si="33"/>
        <v>50</v>
      </c>
      <c r="BH35" s="97">
        <f t="shared" si="33"/>
        <v>50</v>
      </c>
      <c r="BI35" s="97">
        <f t="shared" si="33"/>
        <v>50</v>
      </c>
      <c r="BJ35" s="97">
        <f t="shared" si="33"/>
        <v>50</v>
      </c>
      <c r="BK35" s="97">
        <f t="shared" si="33"/>
        <v>50</v>
      </c>
      <c r="BL35" s="97">
        <f t="shared" si="33"/>
        <v>50</v>
      </c>
      <c r="BM35" s="97">
        <f t="shared" si="33"/>
        <v>50</v>
      </c>
      <c r="BN35" s="97">
        <f t="shared" si="33"/>
        <v>50</v>
      </c>
      <c r="BO35" s="97">
        <f t="shared" si="33"/>
        <v>50</v>
      </c>
      <c r="BP35" s="97">
        <f t="shared" si="33"/>
        <v>50</v>
      </c>
      <c r="BQ35" s="97">
        <f t="shared" si="33"/>
        <v>50</v>
      </c>
      <c r="BR35" s="96">
        <f t="shared" si="33"/>
        <v>50</v>
      </c>
    </row>
  </sheetData>
  <sheetProtection algorithmName="SHA-512" hashValue="Z39TTG9ffqRKA55UVQ6WDSuu+BGPK/OBrYA1eyyMMyT7Z4jYlXxcpSc05phsoFyoQVz+duVoOu81tWppSjQXdw==" saltValue="H4LFHO9cm9LkM6Kcth/7qg==" spinCount="100000" sheet="1" objects="1" scenarios="1" selectLockedCells="1" selectUnlockedCells="1"/>
  <printOptions horizontalCentered="1"/>
  <pageMargins left="0.5" right="0.5" top="0.75" bottom="0.5" header="0.3" footer="0.3"/>
  <pageSetup fitToWidth="5" orientation="landscape" r:id="rId1"/>
  <headerFooter scaleWithDoc="0" alignWithMargins="0">
    <oddFooter>&amp;L&amp;10Capital Expenditures, p.&amp;P of &amp;N&amp;R&amp;10Updated &amp;D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52693-D004-449D-B756-C33999A6C2ED}">
  <sheetPr codeName="Sheet5">
    <tabColor theme="4" tint="0.79998168889431442"/>
    <outlinePr showOutlineSymbols="0"/>
    <pageSetUpPr fitToPage="1"/>
  </sheetPr>
  <dimension ref="A1:BR26"/>
  <sheetViews>
    <sheetView showGridLines="0" showRowColHeaders="0" showZeros="0" showOutlineSymbols="0" zoomScaleNormal="100" workbookViewId="0">
      <pane xSplit="3" ySplit="3" topLeftCell="D4" activePane="bottomRight" state="frozen"/>
      <selection activeCell="A2" sqref="A2:A3"/>
      <selection pane="topRight" activeCell="A2" sqref="A2:A3"/>
      <selection pane="bottomLeft" activeCell="A2" sqref="A2:A3"/>
      <selection pane="bottomRight"/>
    </sheetView>
  </sheetViews>
  <sheetFormatPr defaultColWidth="9.109375" defaultRowHeight="12.6" x14ac:dyDescent="0.25"/>
  <cols>
    <col min="1" max="1" width="3" style="5" customWidth="1"/>
    <col min="2" max="2" width="1.6640625" style="5" customWidth="1"/>
    <col min="3" max="3" width="21.88671875" style="34" customWidth="1"/>
    <col min="4" max="4" width="1.109375" style="34" customWidth="1"/>
    <col min="5" max="9" width="8.33203125" style="34" customWidth="1"/>
    <col min="10" max="10" width="2.21875" style="34" customWidth="1"/>
    <col min="11" max="70" width="8.33203125" style="34" customWidth="1"/>
    <col min="71" max="16384" width="9.109375" style="34"/>
  </cols>
  <sheetData>
    <row r="1" spans="1:70" s="2" customFormat="1" ht="10.199999999999999" x14ac:dyDescent="0.2">
      <c r="A1" s="1" t="s">
        <v>0</v>
      </c>
      <c r="N1" s="3"/>
      <c r="R1" s="4"/>
      <c r="T1" s="4"/>
    </row>
    <row r="2" spans="1:70" s="5" customFormat="1" ht="21" customHeight="1" x14ac:dyDescent="0.2">
      <c r="B2" s="41"/>
      <c r="D2" s="36"/>
      <c r="E2" s="36"/>
      <c r="F2" s="36"/>
      <c r="G2" s="36"/>
      <c r="H2" s="36"/>
      <c r="I2" s="36"/>
      <c r="J2" s="36"/>
    </row>
    <row r="3" spans="1:70" s="14" customFormat="1" ht="19.8" x14ac:dyDescent="0.4">
      <c r="A3" s="37"/>
      <c r="C3" s="7" t="s">
        <v>86</v>
      </c>
      <c r="D3" s="39"/>
      <c r="E3" s="46">
        <v>1</v>
      </c>
      <c r="F3" s="46">
        <v>2</v>
      </c>
      <c r="G3" s="46">
        <v>3</v>
      </c>
      <c r="H3" s="46">
        <v>4</v>
      </c>
      <c r="I3" s="46">
        <v>5</v>
      </c>
      <c r="J3" s="105"/>
      <c r="K3" s="11">
        <v>1</v>
      </c>
      <c r="L3" s="11">
        <v>2</v>
      </c>
      <c r="M3" s="11">
        <v>3</v>
      </c>
      <c r="N3" s="11">
        <v>4</v>
      </c>
      <c r="O3" s="11">
        <v>5</v>
      </c>
      <c r="P3" s="11">
        <v>6</v>
      </c>
      <c r="Q3" s="11">
        <v>7</v>
      </c>
      <c r="R3" s="11">
        <v>8</v>
      </c>
      <c r="S3" s="11">
        <v>9</v>
      </c>
      <c r="T3" s="11">
        <v>10</v>
      </c>
      <c r="U3" s="11">
        <v>11</v>
      </c>
      <c r="V3" s="47">
        <v>12</v>
      </c>
      <c r="W3" s="11">
        <v>13</v>
      </c>
      <c r="X3" s="11">
        <v>14</v>
      </c>
      <c r="Y3" s="11">
        <v>15</v>
      </c>
      <c r="Z3" s="11">
        <v>16</v>
      </c>
      <c r="AA3" s="11">
        <v>17</v>
      </c>
      <c r="AB3" s="11">
        <v>18</v>
      </c>
      <c r="AC3" s="11">
        <v>19</v>
      </c>
      <c r="AD3" s="11">
        <v>20</v>
      </c>
      <c r="AE3" s="11">
        <v>21</v>
      </c>
      <c r="AF3" s="11">
        <v>22</v>
      </c>
      <c r="AG3" s="11">
        <v>23</v>
      </c>
      <c r="AH3" s="47">
        <v>24</v>
      </c>
      <c r="AI3" s="11">
        <v>25</v>
      </c>
      <c r="AJ3" s="11">
        <v>26</v>
      </c>
      <c r="AK3" s="11">
        <v>27</v>
      </c>
      <c r="AL3" s="11">
        <v>28</v>
      </c>
      <c r="AM3" s="11">
        <v>29</v>
      </c>
      <c r="AN3" s="11">
        <v>30</v>
      </c>
      <c r="AO3" s="11">
        <v>31</v>
      </c>
      <c r="AP3" s="11">
        <v>32</v>
      </c>
      <c r="AQ3" s="11">
        <v>33</v>
      </c>
      <c r="AR3" s="11">
        <v>34</v>
      </c>
      <c r="AS3" s="11">
        <v>35</v>
      </c>
      <c r="AT3" s="47">
        <v>36</v>
      </c>
      <c r="AU3" s="11">
        <v>37</v>
      </c>
      <c r="AV3" s="11">
        <v>38</v>
      </c>
      <c r="AW3" s="11">
        <v>39</v>
      </c>
      <c r="AX3" s="11">
        <v>40</v>
      </c>
      <c r="AY3" s="11">
        <v>41</v>
      </c>
      <c r="AZ3" s="11">
        <v>42</v>
      </c>
      <c r="BA3" s="11">
        <v>43</v>
      </c>
      <c r="BB3" s="11">
        <v>44</v>
      </c>
      <c r="BC3" s="11">
        <v>45</v>
      </c>
      <c r="BD3" s="11">
        <v>46</v>
      </c>
      <c r="BE3" s="11">
        <v>47</v>
      </c>
      <c r="BF3" s="47">
        <v>48</v>
      </c>
      <c r="BG3" s="11">
        <v>49</v>
      </c>
      <c r="BH3" s="11">
        <v>50</v>
      </c>
      <c r="BI3" s="11">
        <v>51</v>
      </c>
      <c r="BJ3" s="11">
        <v>52</v>
      </c>
      <c r="BK3" s="11">
        <v>53</v>
      </c>
      <c r="BL3" s="11">
        <v>54</v>
      </c>
      <c r="BM3" s="11">
        <v>55</v>
      </c>
      <c r="BN3" s="11">
        <v>56</v>
      </c>
      <c r="BO3" s="11">
        <v>57</v>
      </c>
      <c r="BP3" s="11">
        <v>58</v>
      </c>
      <c r="BQ3" s="11">
        <v>59</v>
      </c>
      <c r="BR3" s="47">
        <v>60</v>
      </c>
    </row>
    <row r="4" spans="1:70" s="14" customFormat="1" x14ac:dyDescent="0.25">
      <c r="A4" s="13"/>
      <c r="B4" s="79"/>
      <c r="E4" s="48"/>
      <c r="F4" s="48"/>
      <c r="G4" s="48"/>
      <c r="H4" s="48"/>
      <c r="I4" s="48"/>
      <c r="J4" s="88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48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48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48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48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48"/>
    </row>
    <row r="5" spans="1:70" s="14" customFormat="1" x14ac:dyDescent="0.25">
      <c r="A5" s="13"/>
      <c r="B5" s="79"/>
      <c r="C5" s="56" t="s">
        <v>15</v>
      </c>
      <c r="E5" s="48"/>
      <c r="F5" s="48"/>
      <c r="G5" s="48"/>
      <c r="H5" s="48"/>
      <c r="I5" s="48"/>
      <c r="J5" s="88"/>
      <c r="K5" s="201">
        <f t="shared" ref="K5:AP5" si="0">SUM(Units)/12*(1+SUMPRODUCT(Units,UnitsCAGR)/SUM(Units))^((K3-1)/12)</f>
        <v>52.5</v>
      </c>
      <c r="L5" s="201">
        <f t="shared" si="0"/>
        <v>52.727154533302489</v>
      </c>
      <c r="M5" s="201">
        <f t="shared" si="0"/>
        <v>52.955291908166885</v>
      </c>
      <c r="N5" s="201">
        <f t="shared" si="0"/>
        <v>53.184416377105869</v>
      </c>
      <c r="O5" s="201">
        <f t="shared" si="0"/>
        <v>53.414532211031712</v>
      </c>
      <c r="P5" s="201">
        <f t="shared" si="0"/>
        <v>53.645643699335864</v>
      </c>
      <c r="Q5" s="201">
        <f t="shared" si="0"/>
        <v>53.877755149968891</v>
      </c>
      <c r="R5" s="201">
        <f t="shared" si="0"/>
        <v>54.110870889520839</v>
      </c>
      <c r="S5" s="201">
        <f t="shared" si="0"/>
        <v>54.344995263301804</v>
      </c>
      <c r="T5" s="201">
        <f t="shared" si="0"/>
        <v>54.58013263542297</v>
      </c>
      <c r="U5" s="201">
        <f t="shared" si="0"/>
        <v>54.816287388877981</v>
      </c>
      <c r="V5" s="202">
        <f t="shared" si="0"/>
        <v>55.053463925624555</v>
      </c>
      <c r="W5" s="201">
        <f t="shared" si="0"/>
        <v>55.291666666666671</v>
      </c>
      <c r="X5" s="201">
        <f t="shared" si="0"/>
        <v>55.530900052136829</v>
      </c>
      <c r="Y5" s="201">
        <f t="shared" si="0"/>
        <v>55.771168541378941</v>
      </c>
      <c r="Z5" s="201">
        <f t="shared" si="0"/>
        <v>56.012476613031339</v>
      </c>
      <c r="AA5" s="201">
        <f t="shared" si="0"/>
        <v>56.254828765110389</v>
      </c>
      <c r="AB5" s="201">
        <f t="shared" si="0"/>
        <v>56.498229515094202</v>
      </c>
      <c r="AC5" s="201">
        <f t="shared" si="0"/>
        <v>56.742683400006925</v>
      </c>
      <c r="AD5" s="201">
        <f t="shared" si="0"/>
        <v>56.988194976503308</v>
      </c>
      <c r="AE5" s="201">
        <f t="shared" si="0"/>
        <v>57.234768820953562</v>
      </c>
      <c r="AF5" s="201">
        <f t="shared" si="0"/>
        <v>57.482409529528802</v>
      </c>
      <c r="AG5" s="201">
        <f t="shared" si="0"/>
        <v>57.731121718286566</v>
      </c>
      <c r="AH5" s="202">
        <f t="shared" si="0"/>
        <v>57.980910023256982</v>
      </c>
      <c r="AI5" s="201">
        <f t="shared" si="0"/>
        <v>58.231779100529103</v>
      </c>
      <c r="AJ5" s="201">
        <f t="shared" si="0"/>
        <v>58.483733626337767</v>
      </c>
      <c r="AK5" s="201">
        <f t="shared" si="0"/>
        <v>58.736778297150664</v>
      </c>
      <c r="AL5" s="201">
        <f t="shared" si="0"/>
        <v>58.990917829756029</v>
      </c>
      <c r="AM5" s="201">
        <f t="shared" si="0"/>
        <v>59.246156961350394</v>
      </c>
      <c r="AN5" s="201">
        <f t="shared" si="0"/>
        <v>59.502500449626993</v>
      </c>
      <c r="AO5" s="201">
        <f t="shared" si="0"/>
        <v>59.759953072864441</v>
      </c>
      <c r="AP5" s="201">
        <f t="shared" si="0"/>
        <v>60.018519630015781</v>
      </c>
      <c r="AQ5" s="201">
        <f t="shared" ref="AQ5:BR5" si="1">SUM(Units)/12*(1+SUMPRODUCT(Units,UnitsCAGR)/SUM(Units))^((AQ3-1)/12)</f>
        <v>60.27820494079792</v>
      </c>
      <c r="AR5" s="201">
        <f t="shared" si="1"/>
        <v>60.539013845781518</v>
      </c>
      <c r="AS5" s="201">
        <f t="shared" si="1"/>
        <v>60.800951206481166</v>
      </c>
      <c r="AT5" s="202">
        <f t="shared" si="1"/>
        <v>61.06402190544604</v>
      </c>
      <c r="AU5" s="201">
        <f t="shared" si="1"/>
        <v>61.328230846350884</v>
      </c>
      <c r="AV5" s="201">
        <f t="shared" si="1"/>
        <v>61.593582954087466</v>
      </c>
      <c r="AW5" s="201">
        <f t="shared" si="1"/>
        <v>61.860083174856314</v>
      </c>
      <c r="AX5" s="201">
        <f t="shared" si="1"/>
        <v>62.127736476258931</v>
      </c>
      <c r="AY5" s="201">
        <f t="shared" si="1"/>
        <v>62.396547847390451</v>
      </c>
      <c r="AZ5" s="201">
        <f t="shared" si="1"/>
        <v>62.666522298932549</v>
      </c>
      <c r="BA5" s="201">
        <f t="shared" si="1"/>
        <v>62.937664863246916</v>
      </c>
      <c r="BB5" s="201">
        <f t="shared" si="1"/>
        <v>63.209980594469009</v>
      </c>
      <c r="BC5" s="201">
        <f t="shared" si="1"/>
        <v>63.483474568602261</v>
      </c>
      <c r="BD5" s="201">
        <f t="shared" si="1"/>
        <v>63.758151883612769</v>
      </c>
      <c r="BE5" s="201">
        <f t="shared" si="1"/>
        <v>64.034017659524224</v>
      </c>
      <c r="BF5" s="202">
        <f t="shared" si="1"/>
        <v>64.311077038513417</v>
      </c>
      <c r="BG5" s="201">
        <f t="shared" si="1"/>
        <v>64.58933518500605</v>
      </c>
      <c r="BH5" s="201">
        <f t="shared" si="1"/>
        <v>64.86879728577307</v>
      </c>
      <c r="BI5" s="201">
        <f t="shared" si="1"/>
        <v>65.149468550027237</v>
      </c>
      <c r="BJ5" s="201">
        <f t="shared" si="1"/>
        <v>65.431354209520322</v>
      </c>
      <c r="BK5" s="201">
        <f t="shared" si="1"/>
        <v>65.714459518640581</v>
      </c>
      <c r="BL5" s="201">
        <f t="shared" si="1"/>
        <v>65.99878975451071</v>
      </c>
      <c r="BM5" s="201">
        <f t="shared" si="1"/>
        <v>66.284350217086242</v>
      </c>
      <c r="BN5" s="201">
        <f t="shared" si="1"/>
        <v>66.571146229254268</v>
      </c>
      <c r="BO5" s="201">
        <f t="shared" si="1"/>
        <v>66.8591831369327</v>
      </c>
      <c r="BP5" s="201">
        <f t="shared" si="1"/>
        <v>67.148466309169962</v>
      </c>
      <c r="BQ5" s="201">
        <f t="shared" si="1"/>
        <v>67.439001138244947</v>
      </c>
      <c r="BR5" s="202">
        <f t="shared" si="1"/>
        <v>67.730793039767704</v>
      </c>
    </row>
    <row r="6" spans="1:70" s="14" customFormat="1" ht="13.2" x14ac:dyDescent="0.3">
      <c r="A6" s="13"/>
      <c r="C6" s="61" t="s">
        <v>19</v>
      </c>
      <c r="E6" s="89">
        <f>SUM(K6:V6)</f>
        <v>5788.4603088640351</v>
      </c>
      <c r="F6" s="89">
        <f>SUM(W6:AH6)</f>
        <v>6096.2593887798221</v>
      </c>
      <c r="G6" s="89">
        <f>SUM(AI6:AT6)</f>
        <v>6420.4255626276372</v>
      </c>
      <c r="H6" s="89">
        <f>SUM(AU6:BF6)</f>
        <v>6761.8291441324391</v>
      </c>
      <c r="I6" s="89">
        <f>SUM(BG6:BR6)</f>
        <v>7121.3867256061494</v>
      </c>
      <c r="J6" s="113"/>
      <c r="K6" s="90">
        <f t="shared" ref="K6:AP6" si="2">SUMPRODUCT(Price,Units)/SUM(Units)*K5</f>
        <v>471</v>
      </c>
      <c r="L6" s="91">
        <f t="shared" si="2"/>
        <v>473.03790067019946</v>
      </c>
      <c r="M6" s="91">
        <f t="shared" si="2"/>
        <v>475.08461883326862</v>
      </c>
      <c r="N6" s="91">
        <f t="shared" si="2"/>
        <v>477.14019264032123</v>
      </c>
      <c r="O6" s="91">
        <f t="shared" si="2"/>
        <v>479.20466040754167</v>
      </c>
      <c r="P6" s="91">
        <f t="shared" si="2"/>
        <v>481.27806061689887</v>
      </c>
      <c r="Q6" s="91">
        <f t="shared" si="2"/>
        <v>483.36043191686377</v>
      </c>
      <c r="R6" s="91">
        <f t="shared" si="2"/>
        <v>485.4518131231298</v>
      </c>
      <c r="S6" s="91">
        <f t="shared" si="2"/>
        <v>487.55224321933622</v>
      </c>
      <c r="T6" s="91">
        <f t="shared" si="2"/>
        <v>489.66176135779466</v>
      </c>
      <c r="U6" s="91">
        <f t="shared" si="2"/>
        <v>491.78040686021961</v>
      </c>
      <c r="V6" s="89">
        <f t="shared" si="2"/>
        <v>493.90821921846032</v>
      </c>
      <c r="W6" s="90">
        <f t="shared" si="2"/>
        <v>496.04523809523812</v>
      </c>
      <c r="X6" s="91">
        <f t="shared" si="2"/>
        <v>498.19150332488471</v>
      </c>
      <c r="Y6" s="91">
        <f t="shared" si="2"/>
        <v>500.34705491408539</v>
      </c>
      <c r="Z6" s="91">
        <f t="shared" si="2"/>
        <v>502.51193304262404</v>
      </c>
      <c r="AA6" s="91">
        <f t="shared" si="2"/>
        <v>504.68617806413323</v>
      </c>
      <c r="AB6" s="91">
        <f t="shared" si="2"/>
        <v>506.86983050684512</v>
      </c>
      <c r="AC6" s="91">
        <f t="shared" si="2"/>
        <v>509.06293107434783</v>
      </c>
      <c r="AD6" s="91">
        <f t="shared" si="2"/>
        <v>511.26552064634399</v>
      </c>
      <c r="AE6" s="91">
        <f t="shared" si="2"/>
        <v>513.47764027941196</v>
      </c>
      <c r="AF6" s="91">
        <f t="shared" si="2"/>
        <v>515.69933120777273</v>
      </c>
      <c r="AG6" s="91">
        <f t="shared" si="2"/>
        <v>517.93063484405661</v>
      </c>
      <c r="AH6" s="89">
        <f t="shared" si="2"/>
        <v>520.17159278007694</v>
      </c>
      <c r="AI6" s="90">
        <f t="shared" si="2"/>
        <v>522.42224678760397</v>
      </c>
      <c r="AJ6" s="91">
        <f t="shared" si="2"/>
        <v>524.68263881914459</v>
      </c>
      <c r="AK6" s="91">
        <f t="shared" si="2"/>
        <v>526.95281100872307</v>
      </c>
      <c r="AL6" s="91">
        <f t="shared" si="2"/>
        <v>529.23280567266841</v>
      </c>
      <c r="AM6" s="91">
        <f t="shared" si="2"/>
        <v>531.52266531040073</v>
      </c>
      <c r="AN6" s="91">
        <f t="shared" si="2"/>
        <v>533.822432605225</v>
      </c>
      <c r="AO6" s="91">
        <f t="shared" si="2"/>
        <v>536.13215042512672</v>
      </c>
      <c r="AP6" s="91">
        <f t="shared" si="2"/>
        <v>538.4518618235702</v>
      </c>
      <c r="AQ6" s="91">
        <f t="shared" ref="AQ6:BR6" si="3">SUMPRODUCT(Price,Units)/SUM(Units)*AQ5</f>
        <v>540.7816100403013</v>
      </c>
      <c r="AR6" s="91">
        <f t="shared" si="3"/>
        <v>543.12143850215421</v>
      </c>
      <c r="AS6" s="91">
        <f t="shared" si="3"/>
        <v>545.47139082385956</v>
      </c>
      <c r="AT6" s="89">
        <f t="shared" si="3"/>
        <v>547.83151080885875</v>
      </c>
      <c r="AU6" s="90">
        <f t="shared" si="3"/>
        <v>550.20184245011933</v>
      </c>
      <c r="AV6" s="91">
        <f t="shared" si="3"/>
        <v>552.5824299309561</v>
      </c>
      <c r="AW6" s="91">
        <f t="shared" si="3"/>
        <v>554.97331762585384</v>
      </c>
      <c r="AX6" s="91">
        <f t="shared" si="3"/>
        <v>557.3745501012944</v>
      </c>
      <c r="AY6" s="91">
        <f t="shared" si="3"/>
        <v>559.78617211658866</v>
      </c>
      <c r="AZ6" s="91">
        <f t="shared" si="3"/>
        <v>562.20822862470914</v>
      </c>
      <c r="BA6" s="91">
        <f t="shared" si="3"/>
        <v>564.64076477312949</v>
      </c>
      <c r="BB6" s="91">
        <f t="shared" si="3"/>
        <v>567.08382590466488</v>
      </c>
      <c r="BC6" s="91">
        <f t="shared" si="3"/>
        <v>569.53745755831744</v>
      </c>
      <c r="BD6" s="91">
        <f t="shared" si="3"/>
        <v>572.00170547012601</v>
      </c>
      <c r="BE6" s="91">
        <f t="shared" si="3"/>
        <v>574.47661557401739</v>
      </c>
      <c r="BF6" s="89">
        <f t="shared" si="3"/>
        <v>576.96223400266319</v>
      </c>
      <c r="BG6" s="90">
        <f t="shared" si="3"/>
        <v>579.45860708834005</v>
      </c>
      <c r="BH6" s="91">
        <f t="shared" si="3"/>
        <v>581.96578136379264</v>
      </c>
      <c r="BI6" s="91">
        <f t="shared" si="3"/>
        <v>584.48380356310145</v>
      </c>
      <c r="BJ6" s="91">
        <f t="shared" si="3"/>
        <v>587.01272062255373</v>
      </c>
      <c r="BK6" s="91">
        <f t="shared" si="3"/>
        <v>589.55257968151841</v>
      </c>
      <c r="BL6" s="91">
        <f t="shared" si="3"/>
        <v>592.10342808332462</v>
      </c>
      <c r="BM6" s="91">
        <f t="shared" si="3"/>
        <v>594.66531337614515</v>
      </c>
      <c r="BN6" s="91">
        <f t="shared" si="3"/>
        <v>597.2382833138812</v>
      </c>
      <c r="BO6" s="91">
        <f t="shared" si="3"/>
        <v>599.8223858570534</v>
      </c>
      <c r="BP6" s="91">
        <f t="shared" si="3"/>
        <v>602.41766917369625</v>
      </c>
      <c r="BQ6" s="91">
        <f t="shared" si="3"/>
        <v>605.02418164025471</v>
      </c>
      <c r="BR6" s="89">
        <f t="shared" si="3"/>
        <v>607.64197184248746</v>
      </c>
    </row>
    <row r="7" spans="1:70" s="14" customFormat="1" ht="13.2" x14ac:dyDescent="0.3">
      <c r="A7" s="13"/>
      <c r="C7" s="52" t="s">
        <v>16</v>
      </c>
      <c r="E7" s="93">
        <f>SUM(K7:V7)</f>
        <v>4298.5360241267026</v>
      </c>
      <c r="F7" s="93">
        <f>SUM(W7:AH7)</f>
        <v>4527.1089714413774</v>
      </c>
      <c r="G7" s="93">
        <f>SUM(AI7:AT7)</f>
        <v>4767.8361945259576</v>
      </c>
      <c r="H7" s="93">
        <f>SUM(AU7:BF7)</f>
        <v>5021.3639921713875</v>
      </c>
      <c r="I7" s="93">
        <f>SUM(BG7:BR7)</f>
        <v>5288.3730298503406</v>
      </c>
      <c r="J7" s="113"/>
      <c r="K7" s="94">
        <f t="shared" ref="K7:AP7" si="4">SUMPRODUCT(COGS,Units)/SUM(Units)*K5</f>
        <v>349.76666666666665</v>
      </c>
      <c r="L7" s="94">
        <f t="shared" si="4"/>
        <v>351.28002064631301</v>
      </c>
      <c r="M7" s="94">
        <f t="shared" si="4"/>
        <v>352.79992253485403</v>
      </c>
      <c r="N7" s="94">
        <f t="shared" si="4"/>
        <v>354.3264006634742</v>
      </c>
      <c r="O7" s="94">
        <f t="shared" si="4"/>
        <v>355.85948348594013</v>
      </c>
      <c r="P7" s="94">
        <f t="shared" si="4"/>
        <v>357.39919957913094</v>
      </c>
      <c r="Q7" s="94">
        <f t="shared" si="4"/>
        <v>358.94557764357052</v>
      </c>
      <c r="R7" s="94">
        <f t="shared" si="4"/>
        <v>360.49864650396324</v>
      </c>
      <c r="S7" s="94">
        <f t="shared" si="4"/>
        <v>362.05843510973068</v>
      </c>
      <c r="T7" s="94">
        <f t="shared" si="4"/>
        <v>363.62497253555125</v>
      </c>
      <c r="U7" s="94">
        <f t="shared" si="4"/>
        <v>365.19828798190264</v>
      </c>
      <c r="V7" s="93">
        <f t="shared" si="4"/>
        <v>366.77841077560532</v>
      </c>
      <c r="W7" s="94">
        <f t="shared" si="4"/>
        <v>368.36537037037039</v>
      </c>
      <c r="X7" s="94">
        <f t="shared" si="4"/>
        <v>369.95919634734713</v>
      </c>
      <c r="Y7" s="94">
        <f t="shared" si="4"/>
        <v>371.55991841567567</v>
      </c>
      <c r="Z7" s="94">
        <f t="shared" si="4"/>
        <v>373.16756641303988</v>
      </c>
      <c r="AA7" s="94">
        <f t="shared" si="4"/>
        <v>374.78217030622432</v>
      </c>
      <c r="AB7" s="94">
        <f t="shared" si="4"/>
        <v>376.40376019167201</v>
      </c>
      <c r="AC7" s="94">
        <f t="shared" si="4"/>
        <v>378.03236629604612</v>
      </c>
      <c r="AD7" s="94">
        <f t="shared" si="4"/>
        <v>379.66801897679312</v>
      </c>
      <c r="AE7" s="94">
        <f t="shared" si="4"/>
        <v>381.31074872270835</v>
      </c>
      <c r="AF7" s="94">
        <f t="shared" si="4"/>
        <v>382.96058615450522</v>
      </c>
      <c r="AG7" s="94">
        <f t="shared" si="4"/>
        <v>384.6175620253847</v>
      </c>
      <c r="AH7" s="93">
        <f t="shared" si="4"/>
        <v>386.28170722160985</v>
      </c>
      <c r="AI7" s="94">
        <f t="shared" si="4"/>
        <v>387.95305276308051</v>
      </c>
      <c r="AJ7" s="94">
        <f t="shared" si="4"/>
        <v>389.63162980391246</v>
      </c>
      <c r="AK7" s="94">
        <f t="shared" si="4"/>
        <v>391.31746963301708</v>
      </c>
      <c r="AL7" s="94">
        <f t="shared" si="4"/>
        <v>393.01060367468568</v>
      </c>
      <c r="AM7" s="94">
        <f t="shared" si="4"/>
        <v>394.71106348917436</v>
      </c>
      <c r="AN7" s="94">
        <f t="shared" si="4"/>
        <v>396.4188807732927</v>
      </c>
      <c r="AO7" s="94">
        <f t="shared" si="4"/>
        <v>398.13408736099461</v>
      </c>
      <c r="AP7" s="94">
        <f t="shared" si="4"/>
        <v>399.85671522397178</v>
      </c>
      <c r="AQ7" s="94">
        <f t="shared" ref="AQ7:BR7" si="5">SUMPRODUCT(COGS,Units)/SUM(Units)*AQ5</f>
        <v>401.5867964722492</v>
      </c>
      <c r="AR7" s="94">
        <f t="shared" si="5"/>
        <v>403.3243633547844</v>
      </c>
      <c r="AS7" s="94">
        <f t="shared" si="5"/>
        <v>405.06944826006782</v>
      </c>
      <c r="AT7" s="93">
        <f t="shared" si="5"/>
        <v>406.82208371672715</v>
      </c>
      <c r="AU7" s="94">
        <f t="shared" si="5"/>
        <v>408.58230239413319</v>
      </c>
      <c r="AV7" s="94">
        <f t="shared" si="5"/>
        <v>410.35013710300939</v>
      </c>
      <c r="AW7" s="94">
        <f t="shared" si="5"/>
        <v>412.12562079604271</v>
      </c>
      <c r="AX7" s="94">
        <f t="shared" si="5"/>
        <v>413.90878656849839</v>
      </c>
      <c r="AY7" s="94">
        <f t="shared" si="5"/>
        <v>415.6996676588368</v>
      </c>
      <c r="AZ7" s="94">
        <f t="shared" si="5"/>
        <v>417.49829744933282</v>
      </c>
      <c r="BA7" s="94">
        <f t="shared" si="5"/>
        <v>419.30470946669834</v>
      </c>
      <c r="BB7" s="94">
        <f t="shared" si="5"/>
        <v>421.11893738270686</v>
      </c>
      <c r="BC7" s="94">
        <f t="shared" si="5"/>
        <v>422.94101501482129</v>
      </c>
      <c r="BD7" s="94">
        <f t="shared" si="5"/>
        <v>424.77097632682461</v>
      </c>
      <c r="BE7" s="94">
        <f t="shared" si="5"/>
        <v>426.60885542945249</v>
      </c>
      <c r="BF7" s="93">
        <f t="shared" si="5"/>
        <v>428.45468658102936</v>
      </c>
      <c r="BG7" s="94">
        <f t="shared" si="5"/>
        <v>430.30850418810695</v>
      </c>
      <c r="BH7" s="94">
        <f t="shared" si="5"/>
        <v>432.17034280610591</v>
      </c>
      <c r="BI7" s="94">
        <f t="shared" si="5"/>
        <v>434.04023713995923</v>
      </c>
      <c r="BJ7" s="94">
        <f t="shared" si="5"/>
        <v>435.91822204475983</v>
      </c>
      <c r="BK7" s="94">
        <f t="shared" si="5"/>
        <v>437.80433252640989</v>
      </c>
      <c r="BL7" s="94">
        <f t="shared" si="5"/>
        <v>439.69860374227358</v>
      </c>
      <c r="BM7" s="94">
        <f t="shared" si="5"/>
        <v>441.60107100183234</v>
      </c>
      <c r="BN7" s="94">
        <f t="shared" si="5"/>
        <v>443.51176976734286</v>
      </c>
      <c r="BO7" s="94">
        <f t="shared" si="5"/>
        <v>445.43073565449828</v>
      </c>
      <c r="BP7" s="94">
        <f t="shared" si="5"/>
        <v>447.35800443309228</v>
      </c>
      <c r="BQ7" s="94">
        <f t="shared" si="5"/>
        <v>449.29361202768519</v>
      </c>
      <c r="BR7" s="93">
        <f t="shared" si="5"/>
        <v>451.23759451827459</v>
      </c>
    </row>
    <row r="8" spans="1:70" s="49" customFormat="1" ht="13.2" x14ac:dyDescent="0.3">
      <c r="A8" s="37"/>
      <c r="C8" s="49" t="s">
        <v>87</v>
      </c>
      <c r="D8" s="75"/>
      <c r="E8" s="96">
        <f>SUM(K8:V8)</f>
        <v>1489.9242847373314</v>
      </c>
      <c r="F8" s="96">
        <f>SUM(W8:AH8)</f>
        <v>1569.1504173384442</v>
      </c>
      <c r="G8" s="96">
        <f>SUM(AI8:AT8)</f>
        <v>1652.5893681016785</v>
      </c>
      <c r="H8" s="96">
        <f>SUM(AU8:BF8)</f>
        <v>1740.4651519610534</v>
      </c>
      <c r="I8" s="96">
        <f>SUM(BG8:BR8)</f>
        <v>1833.0136957558082</v>
      </c>
      <c r="J8" s="114"/>
      <c r="K8" s="97">
        <f t="shared" ref="K8:AP8" si="6">K6-K7</f>
        <v>121.23333333333335</v>
      </c>
      <c r="L8" s="97">
        <f t="shared" si="6"/>
        <v>121.75788002388646</v>
      </c>
      <c r="M8" s="97">
        <f t="shared" si="6"/>
        <v>122.28469629841459</v>
      </c>
      <c r="N8" s="97">
        <f t="shared" si="6"/>
        <v>122.81379197684703</v>
      </c>
      <c r="O8" s="97">
        <f t="shared" si="6"/>
        <v>123.34517692160154</v>
      </c>
      <c r="P8" s="97">
        <f t="shared" si="6"/>
        <v>123.87886103776793</v>
      </c>
      <c r="Q8" s="97">
        <f t="shared" si="6"/>
        <v>124.41485427329326</v>
      </c>
      <c r="R8" s="97">
        <f t="shared" si="6"/>
        <v>124.95316661916655</v>
      </c>
      <c r="S8" s="97">
        <f t="shared" si="6"/>
        <v>125.49380810960554</v>
      </c>
      <c r="T8" s="97">
        <f t="shared" si="6"/>
        <v>126.03678882224341</v>
      </c>
      <c r="U8" s="97">
        <f t="shared" si="6"/>
        <v>126.58211887831698</v>
      </c>
      <c r="V8" s="96">
        <f t="shared" si="6"/>
        <v>127.12980844285499</v>
      </c>
      <c r="W8" s="97">
        <f t="shared" si="6"/>
        <v>127.67986772486773</v>
      </c>
      <c r="X8" s="97">
        <f t="shared" si="6"/>
        <v>128.23230697753758</v>
      </c>
      <c r="Y8" s="97">
        <f t="shared" si="6"/>
        <v>128.78713649840972</v>
      </c>
      <c r="Z8" s="97">
        <f t="shared" si="6"/>
        <v>129.34436662958416</v>
      </c>
      <c r="AA8" s="97">
        <f t="shared" si="6"/>
        <v>129.90400775790891</v>
      </c>
      <c r="AB8" s="97">
        <f t="shared" si="6"/>
        <v>130.46607031517311</v>
      </c>
      <c r="AC8" s="97">
        <f t="shared" si="6"/>
        <v>131.03056477830171</v>
      </c>
      <c r="AD8" s="97">
        <f t="shared" si="6"/>
        <v>131.59750166955087</v>
      </c>
      <c r="AE8" s="97">
        <f t="shared" si="6"/>
        <v>132.1668915567036</v>
      </c>
      <c r="AF8" s="97">
        <f t="shared" si="6"/>
        <v>132.73874505326751</v>
      </c>
      <c r="AG8" s="97">
        <f t="shared" si="6"/>
        <v>133.31307281867191</v>
      </c>
      <c r="AH8" s="96">
        <f t="shared" si="6"/>
        <v>133.88988555846709</v>
      </c>
      <c r="AI8" s="97">
        <f t="shared" si="6"/>
        <v>134.46919402452346</v>
      </c>
      <c r="AJ8" s="97">
        <f t="shared" si="6"/>
        <v>135.05100901523213</v>
      </c>
      <c r="AK8" s="97">
        <f t="shared" si="6"/>
        <v>135.63534137570599</v>
      </c>
      <c r="AL8" s="97">
        <f t="shared" si="6"/>
        <v>136.22220199798272</v>
      </c>
      <c r="AM8" s="97">
        <f t="shared" si="6"/>
        <v>136.81160182122636</v>
      </c>
      <c r="AN8" s="97">
        <f t="shared" si="6"/>
        <v>137.4035518319323</v>
      </c>
      <c r="AO8" s="97">
        <f t="shared" si="6"/>
        <v>137.99806306413211</v>
      </c>
      <c r="AP8" s="97">
        <f t="shared" si="6"/>
        <v>138.59514659959842</v>
      </c>
      <c r="AQ8" s="97">
        <f t="shared" ref="AQ8:BR8" si="7">AQ6-AQ7</f>
        <v>139.1948135680521</v>
      </c>
      <c r="AR8" s="97">
        <f t="shared" si="7"/>
        <v>139.79707514736981</v>
      </c>
      <c r="AS8" s="97">
        <f t="shared" si="7"/>
        <v>140.40194256379175</v>
      </c>
      <c r="AT8" s="96">
        <f t="shared" si="7"/>
        <v>141.0094270921316</v>
      </c>
      <c r="AU8" s="97">
        <f t="shared" si="7"/>
        <v>141.61954005598614</v>
      </c>
      <c r="AV8" s="97">
        <f t="shared" si="7"/>
        <v>142.23229282794671</v>
      </c>
      <c r="AW8" s="97">
        <f t="shared" si="7"/>
        <v>142.84769682981113</v>
      </c>
      <c r="AX8" s="97">
        <f t="shared" si="7"/>
        <v>143.46576353279602</v>
      </c>
      <c r="AY8" s="97">
        <f t="shared" si="7"/>
        <v>144.08650445775186</v>
      </c>
      <c r="AZ8" s="97">
        <f t="shared" si="7"/>
        <v>144.70993117537631</v>
      </c>
      <c r="BA8" s="97">
        <f t="shared" si="7"/>
        <v>145.33605530643115</v>
      </c>
      <c r="BB8" s="97">
        <f t="shared" si="7"/>
        <v>145.96488852195802</v>
      </c>
      <c r="BC8" s="97">
        <f t="shared" si="7"/>
        <v>146.59644254349615</v>
      </c>
      <c r="BD8" s="97">
        <f t="shared" si="7"/>
        <v>147.2307291433014</v>
      </c>
      <c r="BE8" s="97">
        <f t="shared" si="7"/>
        <v>147.8677601445649</v>
      </c>
      <c r="BF8" s="96">
        <f t="shared" si="7"/>
        <v>148.50754742163383</v>
      </c>
      <c r="BG8" s="97">
        <f t="shared" si="7"/>
        <v>149.15010290023309</v>
      </c>
      <c r="BH8" s="97">
        <f t="shared" si="7"/>
        <v>149.79543855768674</v>
      </c>
      <c r="BI8" s="97">
        <f t="shared" si="7"/>
        <v>150.44356642314222</v>
      </c>
      <c r="BJ8" s="97">
        <f t="shared" si="7"/>
        <v>151.0944985777939</v>
      </c>
      <c r="BK8" s="97">
        <f t="shared" si="7"/>
        <v>151.74824715510852</v>
      </c>
      <c r="BL8" s="97">
        <f t="shared" si="7"/>
        <v>152.40482434105104</v>
      </c>
      <c r="BM8" s="97">
        <f t="shared" si="7"/>
        <v>153.06424237431281</v>
      </c>
      <c r="BN8" s="97">
        <f t="shared" si="7"/>
        <v>153.72651354653834</v>
      </c>
      <c r="BO8" s="97">
        <f t="shared" si="7"/>
        <v>154.39165020255513</v>
      </c>
      <c r="BP8" s="97">
        <f t="shared" si="7"/>
        <v>155.05966474060398</v>
      </c>
      <c r="BQ8" s="97">
        <f t="shared" si="7"/>
        <v>155.73056961256952</v>
      </c>
      <c r="BR8" s="96">
        <f t="shared" si="7"/>
        <v>156.40437732421287</v>
      </c>
    </row>
    <row r="9" spans="1:70" s="14" customFormat="1" ht="13.2" x14ac:dyDescent="0.3">
      <c r="A9" s="13"/>
      <c r="C9" s="56" t="s">
        <v>88</v>
      </c>
      <c r="D9" s="34"/>
      <c r="E9" s="115">
        <f>E8/E6</f>
        <v>0.2573956121726822</v>
      </c>
      <c r="F9" s="115">
        <f>F8/F6</f>
        <v>0.25739561217268225</v>
      </c>
      <c r="G9" s="115">
        <f>G8/G6</f>
        <v>0.25739561217268225</v>
      </c>
      <c r="H9" s="115">
        <f>H8/H6</f>
        <v>0.25739561217268225</v>
      </c>
      <c r="I9" s="115">
        <f>I8/I6</f>
        <v>0.25739561217268225</v>
      </c>
      <c r="J9" s="116"/>
      <c r="K9" s="117">
        <f t="shared" ref="K9:AP9" si="8">K8/K6</f>
        <v>0.25739561217268225</v>
      </c>
      <c r="L9" s="117">
        <f t="shared" si="8"/>
        <v>0.25739561217268225</v>
      </c>
      <c r="M9" s="117">
        <f t="shared" si="8"/>
        <v>0.25739561217268225</v>
      </c>
      <c r="N9" s="117">
        <f t="shared" si="8"/>
        <v>0.25739561217268225</v>
      </c>
      <c r="O9" s="117">
        <f t="shared" si="8"/>
        <v>0.25739561217268231</v>
      </c>
      <c r="P9" s="117">
        <f t="shared" si="8"/>
        <v>0.2573956121726822</v>
      </c>
      <c r="Q9" s="117">
        <f t="shared" si="8"/>
        <v>0.25739561217268225</v>
      </c>
      <c r="R9" s="117">
        <f t="shared" si="8"/>
        <v>0.25739561217268231</v>
      </c>
      <c r="S9" s="117">
        <f t="shared" si="8"/>
        <v>0.25739561217268231</v>
      </c>
      <c r="T9" s="117">
        <f t="shared" si="8"/>
        <v>0.25739561217268225</v>
      </c>
      <c r="U9" s="117">
        <f t="shared" si="8"/>
        <v>0.25739561217268225</v>
      </c>
      <c r="V9" s="115">
        <f t="shared" si="8"/>
        <v>0.25739561217268236</v>
      </c>
      <c r="W9" s="117">
        <f t="shared" si="8"/>
        <v>0.25739561217268225</v>
      </c>
      <c r="X9" s="117">
        <f t="shared" si="8"/>
        <v>0.25739561217268225</v>
      </c>
      <c r="Y9" s="117">
        <f t="shared" si="8"/>
        <v>0.25739561217268236</v>
      </c>
      <c r="Z9" s="117">
        <f t="shared" si="8"/>
        <v>0.25739561217268231</v>
      </c>
      <c r="AA9" s="117">
        <f t="shared" si="8"/>
        <v>0.25739561217268231</v>
      </c>
      <c r="AB9" s="117">
        <f t="shared" si="8"/>
        <v>0.25739561217268231</v>
      </c>
      <c r="AC9" s="117">
        <f t="shared" si="8"/>
        <v>0.25739561217268225</v>
      </c>
      <c r="AD9" s="117">
        <f t="shared" si="8"/>
        <v>0.25739561217268231</v>
      </c>
      <c r="AE9" s="117">
        <f t="shared" si="8"/>
        <v>0.25739561217268231</v>
      </c>
      <c r="AF9" s="117">
        <f t="shared" si="8"/>
        <v>0.25739561217268231</v>
      </c>
      <c r="AG9" s="117">
        <f t="shared" si="8"/>
        <v>0.25739561217268225</v>
      </c>
      <c r="AH9" s="115">
        <f t="shared" si="8"/>
        <v>0.25739561217268225</v>
      </c>
      <c r="AI9" s="117">
        <f t="shared" si="8"/>
        <v>0.25739561217268236</v>
      </c>
      <c r="AJ9" s="117">
        <f t="shared" si="8"/>
        <v>0.25739561217268236</v>
      </c>
      <c r="AK9" s="117">
        <f t="shared" si="8"/>
        <v>0.2573956121726822</v>
      </c>
      <c r="AL9" s="117">
        <f t="shared" si="8"/>
        <v>0.25739561217268236</v>
      </c>
      <c r="AM9" s="117">
        <f t="shared" si="8"/>
        <v>0.25739561217268236</v>
      </c>
      <c r="AN9" s="117">
        <f t="shared" si="8"/>
        <v>0.25739561217268225</v>
      </c>
      <c r="AO9" s="117">
        <f t="shared" si="8"/>
        <v>0.25739561217268236</v>
      </c>
      <c r="AP9" s="117">
        <f t="shared" si="8"/>
        <v>0.25739561217268236</v>
      </c>
      <c r="AQ9" s="117">
        <f t="shared" ref="AQ9:BR9" si="9">AQ8/AQ6</f>
        <v>0.25739561217268225</v>
      </c>
      <c r="AR9" s="117">
        <f t="shared" si="9"/>
        <v>0.25739561217268231</v>
      </c>
      <c r="AS9" s="117">
        <f t="shared" si="9"/>
        <v>0.25739561217268225</v>
      </c>
      <c r="AT9" s="115">
        <f t="shared" si="9"/>
        <v>0.25739561217268225</v>
      </c>
      <c r="AU9" s="117">
        <f t="shared" si="9"/>
        <v>0.25739561217268225</v>
      </c>
      <c r="AV9" s="117">
        <f t="shared" si="9"/>
        <v>0.2573956121726822</v>
      </c>
      <c r="AW9" s="117">
        <f t="shared" si="9"/>
        <v>0.25739561217268236</v>
      </c>
      <c r="AX9" s="117">
        <f t="shared" si="9"/>
        <v>0.25739561217268225</v>
      </c>
      <c r="AY9" s="117">
        <f t="shared" si="9"/>
        <v>0.25739561217268236</v>
      </c>
      <c r="AZ9" s="117">
        <f t="shared" si="9"/>
        <v>0.25739561217268225</v>
      </c>
      <c r="BA9" s="117">
        <f t="shared" si="9"/>
        <v>0.25739561217268225</v>
      </c>
      <c r="BB9" s="117">
        <f t="shared" si="9"/>
        <v>0.25739561217268231</v>
      </c>
      <c r="BC9" s="117">
        <f t="shared" si="9"/>
        <v>0.25739561217268225</v>
      </c>
      <c r="BD9" s="117">
        <f t="shared" si="9"/>
        <v>0.25739561217268231</v>
      </c>
      <c r="BE9" s="117">
        <f t="shared" si="9"/>
        <v>0.25739561217268231</v>
      </c>
      <c r="BF9" s="115">
        <f t="shared" si="9"/>
        <v>0.25739561217268225</v>
      </c>
      <c r="BG9" s="117">
        <f t="shared" si="9"/>
        <v>0.25739561217268236</v>
      </c>
      <c r="BH9" s="117">
        <f t="shared" si="9"/>
        <v>0.2573956121726822</v>
      </c>
      <c r="BI9" s="117">
        <f t="shared" si="9"/>
        <v>0.2573956121726822</v>
      </c>
      <c r="BJ9" s="117">
        <f t="shared" si="9"/>
        <v>0.2573956121726822</v>
      </c>
      <c r="BK9" s="117">
        <f t="shared" si="9"/>
        <v>0.25739561217268236</v>
      </c>
      <c r="BL9" s="117">
        <f t="shared" si="9"/>
        <v>0.2573956121726822</v>
      </c>
      <c r="BM9" s="117">
        <f t="shared" si="9"/>
        <v>0.25739561217268225</v>
      </c>
      <c r="BN9" s="117">
        <f t="shared" si="9"/>
        <v>0.25739561217268236</v>
      </c>
      <c r="BO9" s="117">
        <f t="shared" si="9"/>
        <v>0.25739561217268231</v>
      </c>
      <c r="BP9" s="117">
        <f t="shared" si="9"/>
        <v>0.25739561217268236</v>
      </c>
      <c r="BQ9" s="117">
        <f t="shared" si="9"/>
        <v>0.25739561217268236</v>
      </c>
      <c r="BR9" s="115">
        <f t="shared" si="9"/>
        <v>0.25739561217268236</v>
      </c>
    </row>
    <row r="10" spans="1:70" s="14" customFormat="1" ht="13.2" x14ac:dyDescent="0.3">
      <c r="A10" s="13"/>
      <c r="B10" s="13"/>
      <c r="C10" s="61" t="s">
        <v>26</v>
      </c>
      <c r="E10" s="89">
        <f>SUM(K10:V10)</f>
        <v>379.31814518162457</v>
      </c>
      <c r="F10" s="89">
        <f>SUM(W10:AH10)</f>
        <v>384.41932023751531</v>
      </c>
      <c r="G10" s="89">
        <f>SUM(AI10:AT10)</f>
        <v>389.58909730277833</v>
      </c>
      <c r="H10" s="89">
        <f>SUM(AU10:BF10)</f>
        <v>394.82839895616053</v>
      </c>
      <c r="I10" s="89">
        <f>SUM(BG10:BR10)</f>
        <v>400.1381601835019</v>
      </c>
      <c r="J10" s="113"/>
      <c r="K10" s="90">
        <f t="shared" ref="K10:AP10" si="10">SUMPRODUCT(PaySalary,PayFTE)/12*(1+PayLoad)*(1+SUMPRODUCT(PayFTE,PaySalary,PayCAGR)/SUMPRODUCT(PayFTE,PaySalary))^((K3-1)/12)</f>
        <v>31.416666666666668</v>
      </c>
      <c r="L10" s="91">
        <f t="shared" si="10"/>
        <v>31.451659829623086</v>
      </c>
      <c r="M10" s="91">
        <f t="shared" si="10"/>
        <v>31.486691969389703</v>
      </c>
      <c r="N10" s="91">
        <f t="shared" si="10"/>
        <v>31.521763129380471</v>
      </c>
      <c r="O10" s="91">
        <f t="shared" si="10"/>
        <v>31.556873353057714</v>
      </c>
      <c r="P10" s="91">
        <f t="shared" si="10"/>
        <v>31.59202268393215</v>
      </c>
      <c r="Q10" s="91">
        <f t="shared" si="10"/>
        <v>31.627211165562972</v>
      </c>
      <c r="R10" s="91">
        <f t="shared" si="10"/>
        <v>31.662438841557886</v>
      </c>
      <c r="S10" s="91">
        <f t="shared" si="10"/>
        <v>31.697705755573171</v>
      </c>
      <c r="T10" s="91">
        <f t="shared" si="10"/>
        <v>31.733011951313735</v>
      </c>
      <c r="U10" s="91">
        <f t="shared" si="10"/>
        <v>31.768357472533161</v>
      </c>
      <c r="V10" s="89">
        <f t="shared" si="10"/>
        <v>31.803742363033766</v>
      </c>
      <c r="W10" s="90">
        <f t="shared" si="10"/>
        <v>31.839166666666664</v>
      </c>
      <c r="X10" s="91">
        <f t="shared" si="10"/>
        <v>31.874630427331805</v>
      </c>
      <c r="Y10" s="91">
        <f t="shared" si="10"/>
        <v>31.910133688978043</v>
      </c>
      <c r="Z10" s="91">
        <f t="shared" si="10"/>
        <v>31.94567649560317</v>
      </c>
      <c r="AA10" s="91">
        <f t="shared" si="10"/>
        <v>31.981258891254001</v>
      </c>
      <c r="AB10" s="91">
        <f t="shared" si="10"/>
        <v>32.016880920026402</v>
      </c>
      <c r="AC10" s="91">
        <f t="shared" si="10"/>
        <v>32.052542626065367</v>
      </c>
      <c r="AD10" s="91">
        <f t="shared" si="10"/>
        <v>32.088244053565042</v>
      </c>
      <c r="AE10" s="91">
        <f t="shared" si="10"/>
        <v>32.123985246768811</v>
      </c>
      <c r="AF10" s="91">
        <f t="shared" si="10"/>
        <v>32.15976624996933</v>
      </c>
      <c r="AG10" s="91">
        <f t="shared" si="10"/>
        <v>32.195587107508601</v>
      </c>
      <c r="AH10" s="89">
        <f t="shared" si="10"/>
        <v>32.231447863778016</v>
      </c>
      <c r="AI10" s="90">
        <f t="shared" si="10"/>
        <v>32.267348563218384</v>
      </c>
      <c r="AJ10" s="91">
        <f t="shared" si="10"/>
        <v>32.303289250320063</v>
      </c>
      <c r="AK10" s="91">
        <f t="shared" si="10"/>
        <v>32.339269969622912</v>
      </c>
      <c r="AL10" s="91">
        <f t="shared" si="10"/>
        <v>32.375290765716457</v>
      </c>
      <c r="AM10" s="91">
        <f t="shared" si="10"/>
        <v>32.411351683239829</v>
      </c>
      <c r="AN10" s="91">
        <f t="shared" si="10"/>
        <v>32.447452766881931</v>
      </c>
      <c r="AO10" s="91">
        <f t="shared" si="10"/>
        <v>32.483594061381417</v>
      </c>
      <c r="AP10" s="91">
        <f t="shared" si="10"/>
        <v>32.519775611526775</v>
      </c>
      <c r="AQ10" s="91">
        <f t="shared" ref="AQ10:BR10" si="11">SUMPRODUCT(PaySalary,PayFTE)/12*(1+PayLoad)*(1+SUMPRODUCT(PayFTE,PaySalary,PayCAGR)/SUMPRODUCT(PayFTE,PaySalary))^((AQ3-1)/12)</f>
        <v>32.555997462156384</v>
      </c>
      <c r="AR10" s="91">
        <f t="shared" si="11"/>
        <v>32.592259658158568</v>
      </c>
      <c r="AS10" s="91">
        <f t="shared" si="11"/>
        <v>32.628562244471652</v>
      </c>
      <c r="AT10" s="89">
        <f t="shared" si="11"/>
        <v>32.664905266083984</v>
      </c>
      <c r="AU10" s="90">
        <f t="shared" si="11"/>
        <v>32.701288768034082</v>
      </c>
      <c r="AV10" s="91">
        <f t="shared" si="11"/>
        <v>32.737712795410573</v>
      </c>
      <c r="AW10" s="91">
        <f t="shared" si="11"/>
        <v>32.774177393352325</v>
      </c>
      <c r="AX10" s="91">
        <f t="shared" si="11"/>
        <v>32.810682607048498</v>
      </c>
      <c r="AY10" s="91">
        <f t="shared" si="11"/>
        <v>32.847228481738568</v>
      </c>
      <c r="AZ10" s="91">
        <f t="shared" si="11"/>
        <v>32.883815062712408</v>
      </c>
      <c r="BA10" s="91">
        <f t="shared" si="11"/>
        <v>32.920442395310332</v>
      </c>
      <c r="BB10" s="91">
        <f t="shared" si="11"/>
        <v>32.957110524923166</v>
      </c>
      <c r="BC10" s="91">
        <f t="shared" si="11"/>
        <v>32.99381949699228</v>
      </c>
      <c r="BD10" s="91">
        <f t="shared" si="11"/>
        <v>33.030569357009668</v>
      </c>
      <c r="BE10" s="91">
        <f t="shared" si="11"/>
        <v>33.067360150517985</v>
      </c>
      <c r="BF10" s="89">
        <f t="shared" si="11"/>
        <v>33.104191923110633</v>
      </c>
      <c r="BG10" s="90">
        <f t="shared" si="11"/>
        <v>33.141064720431771</v>
      </c>
      <c r="BH10" s="91">
        <f t="shared" si="11"/>
        <v>33.17797858817643</v>
      </c>
      <c r="BI10" s="91">
        <f t="shared" si="11"/>
        <v>33.214933572090509</v>
      </c>
      <c r="BJ10" s="91">
        <f t="shared" si="11"/>
        <v>33.251929717970867</v>
      </c>
      <c r="BK10" s="91">
        <f t="shared" si="11"/>
        <v>33.28896707166539</v>
      </c>
      <c r="BL10" s="91">
        <f t="shared" si="11"/>
        <v>33.326045679073026</v>
      </c>
      <c r="BM10" s="91">
        <f t="shared" si="11"/>
        <v>33.363165586143815</v>
      </c>
      <c r="BN10" s="91">
        <f t="shared" si="11"/>
        <v>33.400326838879032</v>
      </c>
      <c r="BO10" s="91">
        <f t="shared" si="11"/>
        <v>33.43752948333114</v>
      </c>
      <c r="BP10" s="91">
        <f t="shared" si="11"/>
        <v>33.474773565603925</v>
      </c>
      <c r="BQ10" s="91">
        <f t="shared" si="11"/>
        <v>33.512059131852538</v>
      </c>
      <c r="BR10" s="89">
        <f t="shared" si="11"/>
        <v>33.549386228283495</v>
      </c>
    </row>
    <row r="11" spans="1:70" s="14" customFormat="1" ht="13.2" x14ac:dyDescent="0.3">
      <c r="A11" s="13"/>
      <c r="B11" s="13"/>
      <c r="C11" s="61" t="s">
        <v>30</v>
      </c>
      <c r="E11" s="89">
        <f>SUM(K11:V11)</f>
        <v>496.79223139193084</v>
      </c>
      <c r="F11" s="89">
        <f>SUM(W11:AH11)</f>
        <v>511.8987706730324</v>
      </c>
      <c r="G11" s="89">
        <f>SUM(AI11:AT11)</f>
        <v>527.46467206696741</v>
      </c>
      <c r="H11" s="89">
        <f>SUM(AU11:BF11)</f>
        <v>543.50390393186103</v>
      </c>
      <c r="I11" s="89">
        <f>SUM(BG11:BR11)</f>
        <v>560.0308593779522</v>
      </c>
      <c r="J11" s="113"/>
      <c r="K11" s="90">
        <f t="shared" ref="K11:AP11" si="12">SUM(Overhead)/12*(1+SUMPRODUCT(Overhead,OverheadCAGR)/SUM(Overhead))^((K3-1)/12)</f>
        <v>40.833333333333336</v>
      </c>
      <c r="L11" s="91">
        <f t="shared" si="12"/>
        <v>40.935390865003733</v>
      </c>
      <c r="M11" s="91">
        <f t="shared" si="12"/>
        <v>41.037703476015444</v>
      </c>
      <c r="N11" s="91">
        <f t="shared" si="12"/>
        <v>41.140271803905669</v>
      </c>
      <c r="O11" s="91">
        <f t="shared" si="12"/>
        <v>41.243096487804991</v>
      </c>
      <c r="P11" s="91">
        <f t="shared" si="12"/>
        <v>41.346178168441469</v>
      </c>
      <c r="Q11" s="91">
        <f t="shared" si="12"/>
        <v>41.449517488144544</v>
      </c>
      <c r="R11" s="91">
        <f t="shared" si="12"/>
        <v>41.55311509084909</v>
      </c>
      <c r="S11" s="91">
        <f t="shared" si="12"/>
        <v>41.656971622099405</v>
      </c>
      <c r="T11" s="91">
        <f t="shared" si="12"/>
        <v>41.761087729053244</v>
      </c>
      <c r="U11" s="91">
        <f t="shared" si="12"/>
        <v>41.865464060485856</v>
      </c>
      <c r="V11" s="89">
        <f t="shared" si="12"/>
        <v>41.970101266793996</v>
      </c>
      <c r="W11" s="90">
        <f t="shared" si="12"/>
        <v>42.075000000000003</v>
      </c>
      <c r="X11" s="91">
        <f t="shared" si="12"/>
        <v>42.180160913755891</v>
      </c>
      <c r="Y11" s="91">
        <f t="shared" si="12"/>
        <v>42.28558466334735</v>
      </c>
      <c r="Z11" s="91">
        <f t="shared" si="12"/>
        <v>42.391271905697899</v>
      </c>
      <c r="AA11" s="91">
        <f t="shared" si="12"/>
        <v>42.497223299372941</v>
      </c>
      <c r="AB11" s="91">
        <f t="shared" si="12"/>
        <v>42.603439504583875</v>
      </c>
      <c r="AC11" s="91">
        <f t="shared" si="12"/>
        <v>42.709921183192201</v>
      </c>
      <c r="AD11" s="91">
        <f t="shared" si="12"/>
        <v>42.816668998713688</v>
      </c>
      <c r="AE11" s="91">
        <f t="shared" si="12"/>
        <v>42.923683616322428</v>
      </c>
      <c r="AF11" s="91">
        <f t="shared" si="12"/>
        <v>43.030965702855077</v>
      </c>
      <c r="AG11" s="91">
        <f t="shared" si="12"/>
        <v>43.138515926814911</v>
      </c>
      <c r="AH11" s="89">
        <f t="shared" si="12"/>
        <v>43.246334958376089</v>
      </c>
      <c r="AI11" s="90">
        <f t="shared" si="12"/>
        <v>43.354423469387761</v>
      </c>
      <c r="AJ11" s="91">
        <f t="shared" si="12"/>
        <v>43.462782133378262</v>
      </c>
      <c r="AK11" s="91">
        <f t="shared" si="12"/>
        <v>43.571411625559342</v>
      </c>
      <c r="AL11" s="91">
        <f t="shared" si="12"/>
        <v>43.68031262283035</v>
      </c>
      <c r="AM11" s="91">
        <f t="shared" si="12"/>
        <v>43.789485803782448</v>
      </c>
      <c r="AN11" s="91">
        <f t="shared" si="12"/>
        <v>43.898931848702851</v>
      </c>
      <c r="AO11" s="91">
        <f t="shared" si="12"/>
        <v>44.008651439579076</v>
      </c>
      <c r="AP11" s="91">
        <f t="shared" si="12"/>
        <v>44.118645260103143</v>
      </c>
      <c r="AQ11" s="91">
        <f t="shared" ref="AQ11:BR11" si="13">SUM(Overhead)/12*(1+SUMPRODUCT(Overhead,OverheadCAGR)/SUM(Overhead))^((AQ3-1)/12)</f>
        <v>44.22891399567591</v>
      </c>
      <c r="AR11" s="91">
        <f t="shared" si="13"/>
        <v>44.339458333411287</v>
      </c>
      <c r="AS11" s="91">
        <f t="shared" si="13"/>
        <v>44.450278962140516</v>
      </c>
      <c r="AT11" s="89">
        <f t="shared" si="13"/>
        <v>44.561376572416513</v>
      </c>
      <c r="AU11" s="90">
        <f t="shared" si="13"/>
        <v>44.672751856518126</v>
      </c>
      <c r="AV11" s="91">
        <f t="shared" si="13"/>
        <v>44.784405508454462</v>
      </c>
      <c r="AW11" s="91">
        <f t="shared" si="13"/>
        <v>44.896338223969209</v>
      </c>
      <c r="AX11" s="91">
        <f t="shared" si="13"/>
        <v>45.008550700544994</v>
      </c>
      <c r="AY11" s="91">
        <f t="shared" si="13"/>
        <v>45.121043637407666</v>
      </c>
      <c r="AZ11" s="91">
        <f t="shared" si="13"/>
        <v>45.233817735530756</v>
      </c>
      <c r="BA11" s="91">
        <f t="shared" si="13"/>
        <v>45.346873697639744</v>
      </c>
      <c r="BB11" s="91">
        <f t="shared" si="13"/>
        <v>45.460212228216484</v>
      </c>
      <c r="BC11" s="91">
        <f t="shared" si="13"/>
        <v>45.573834033503609</v>
      </c>
      <c r="BD11" s="91">
        <f t="shared" si="13"/>
        <v>45.687739821508892</v>
      </c>
      <c r="BE11" s="91">
        <f t="shared" si="13"/>
        <v>45.801930302009687</v>
      </c>
      <c r="BF11" s="89">
        <f t="shared" si="13"/>
        <v>45.916406186557339</v>
      </c>
      <c r="BG11" s="90">
        <f t="shared" si="13"/>
        <v>46.031168188481637</v>
      </c>
      <c r="BH11" s="91">
        <f t="shared" si="13"/>
        <v>46.146217022895222</v>
      </c>
      <c r="BI11" s="91">
        <f t="shared" si="13"/>
        <v>46.26155340669807</v>
      </c>
      <c r="BJ11" s="91">
        <f t="shared" si="13"/>
        <v>46.377178058581968</v>
      </c>
      <c r="BK11" s="91">
        <f t="shared" si="13"/>
        <v>46.493091699034963</v>
      </c>
      <c r="BL11" s="91">
        <f t="shared" si="13"/>
        <v>46.609295050345871</v>
      </c>
      <c r="BM11" s="91">
        <f t="shared" si="13"/>
        <v>46.725788836608793</v>
      </c>
      <c r="BN11" s="91">
        <f t="shared" si="13"/>
        <v>46.842573783727559</v>
      </c>
      <c r="BO11" s="91">
        <f t="shared" si="13"/>
        <v>46.959650619420351</v>
      </c>
      <c r="BP11" s="91">
        <f t="shared" si="13"/>
        <v>47.077020073224155</v>
      </c>
      <c r="BQ11" s="91">
        <f t="shared" si="13"/>
        <v>47.194682876499371</v>
      </c>
      <c r="BR11" s="89">
        <f t="shared" si="13"/>
        <v>47.312639762434287</v>
      </c>
    </row>
    <row r="12" spans="1:70" s="14" customFormat="1" ht="13.2" x14ac:dyDescent="0.3">
      <c r="A12" s="37"/>
      <c r="C12" s="107" t="s">
        <v>89</v>
      </c>
      <c r="E12" s="98">
        <f t="shared" ref="E12:E23" si="14">SUM(K12:V12)</f>
        <v>876.11037657355519</v>
      </c>
      <c r="F12" s="98">
        <f t="shared" ref="F12:F23" si="15">SUM(W12:AH12)</f>
        <v>896.31809091054743</v>
      </c>
      <c r="G12" s="98">
        <f t="shared" ref="G12:G23" si="16">SUM(AI12:AT12)</f>
        <v>917.05376936974596</v>
      </c>
      <c r="H12" s="98">
        <f t="shared" ref="H12:H23" si="17">SUM(AU12:BF12)</f>
        <v>938.33230288802156</v>
      </c>
      <c r="I12" s="98">
        <f t="shared" ref="I12:I23" si="18">SUM(BG12:BR12)</f>
        <v>960.16901956145432</v>
      </c>
      <c r="J12" s="113"/>
      <c r="K12" s="99" cm="1">
        <f t="array" ref="K12">SUM(+K10:K11)</f>
        <v>72.25</v>
      </c>
      <c r="L12" s="99">
        <f t="shared" ref="L12:AQ12" si="19">SUM(L10:L11)</f>
        <v>72.387050694626822</v>
      </c>
      <c r="M12" s="99">
        <f t="shared" si="19"/>
        <v>72.524395445405148</v>
      </c>
      <c r="N12" s="99">
        <f t="shared" si="19"/>
        <v>72.662034933286137</v>
      </c>
      <c r="O12" s="99">
        <f t="shared" si="19"/>
        <v>72.799969840862701</v>
      </c>
      <c r="P12" s="99">
        <f t="shared" si="19"/>
        <v>72.938200852373626</v>
      </c>
      <c r="Q12" s="99">
        <f t="shared" si="19"/>
        <v>73.076728653707519</v>
      </c>
      <c r="R12" s="99">
        <f t="shared" si="19"/>
        <v>73.215553932406976</v>
      </c>
      <c r="S12" s="99">
        <f t="shared" si="19"/>
        <v>73.354677377672573</v>
      </c>
      <c r="T12" s="99">
        <f t="shared" si="19"/>
        <v>73.494099680366986</v>
      </c>
      <c r="U12" s="99">
        <f t="shared" si="19"/>
        <v>73.633821533019017</v>
      </c>
      <c r="V12" s="98">
        <f t="shared" si="19"/>
        <v>73.773843629827766</v>
      </c>
      <c r="W12" s="99">
        <f t="shared" si="19"/>
        <v>73.914166666666659</v>
      </c>
      <c r="X12" s="99">
        <f t="shared" si="19"/>
        <v>74.054791341087693</v>
      </c>
      <c r="Y12" s="99">
        <f t="shared" si="19"/>
        <v>74.1957183523254</v>
      </c>
      <c r="Z12" s="99">
        <f t="shared" si="19"/>
        <v>74.336948401301072</v>
      </c>
      <c r="AA12" s="99">
        <f t="shared" si="19"/>
        <v>74.478482190626949</v>
      </c>
      <c r="AB12" s="99">
        <f t="shared" si="19"/>
        <v>74.62032042461027</v>
      </c>
      <c r="AC12" s="99">
        <f t="shared" si="19"/>
        <v>74.762463809257568</v>
      </c>
      <c r="AD12" s="99">
        <f t="shared" si="19"/>
        <v>74.904913052278729</v>
      </c>
      <c r="AE12" s="99">
        <f t="shared" si="19"/>
        <v>75.047668863091246</v>
      </c>
      <c r="AF12" s="99">
        <f t="shared" si="19"/>
        <v>75.190731952824407</v>
      </c>
      <c r="AG12" s="99">
        <f t="shared" si="19"/>
        <v>75.334103034323505</v>
      </c>
      <c r="AH12" s="98">
        <f t="shared" si="19"/>
        <v>75.477782822154097</v>
      </c>
      <c r="AI12" s="99">
        <f t="shared" si="19"/>
        <v>75.621772032606145</v>
      </c>
      <c r="AJ12" s="99">
        <f t="shared" si="19"/>
        <v>75.766071383698318</v>
      </c>
      <c r="AK12" s="99">
        <f t="shared" si="19"/>
        <v>75.910681595182254</v>
      </c>
      <c r="AL12" s="99">
        <f t="shared" si="19"/>
        <v>76.055603388546814</v>
      </c>
      <c r="AM12" s="99">
        <f t="shared" si="19"/>
        <v>76.200837487022284</v>
      </c>
      <c r="AN12" s="99">
        <f t="shared" si="19"/>
        <v>76.346384615584782</v>
      </c>
      <c r="AO12" s="99">
        <f t="shared" si="19"/>
        <v>76.492245500960493</v>
      </c>
      <c r="AP12" s="99">
        <f t="shared" si="19"/>
        <v>76.638420871629918</v>
      </c>
      <c r="AQ12" s="99">
        <f t="shared" si="19"/>
        <v>76.784911457832294</v>
      </c>
      <c r="AR12" s="99">
        <f t="shared" ref="AR12:BR12" si="20">SUM(AR10:AR11)</f>
        <v>76.931717991569855</v>
      </c>
      <c r="AS12" s="99">
        <f t="shared" si="20"/>
        <v>77.078841206612168</v>
      </c>
      <c r="AT12" s="98">
        <f t="shared" si="20"/>
        <v>77.226281838500498</v>
      </c>
      <c r="AU12" s="99">
        <f t="shared" si="20"/>
        <v>77.374040624552208</v>
      </c>
      <c r="AV12" s="99">
        <f t="shared" si="20"/>
        <v>77.522118303865028</v>
      </c>
      <c r="AW12" s="99">
        <f t="shared" si="20"/>
        <v>77.670515617321541</v>
      </c>
      <c r="AX12" s="99">
        <f t="shared" si="20"/>
        <v>77.819233307593493</v>
      </c>
      <c r="AY12" s="99">
        <f t="shared" si="20"/>
        <v>77.968272119146235</v>
      </c>
      <c r="AZ12" s="99">
        <f t="shared" si="20"/>
        <v>78.117632798243164</v>
      </c>
      <c r="BA12" s="99">
        <f t="shared" si="20"/>
        <v>78.267316092950068</v>
      </c>
      <c r="BB12" s="99">
        <f t="shared" si="20"/>
        <v>78.417322753139644</v>
      </c>
      <c r="BC12" s="99">
        <f t="shared" si="20"/>
        <v>78.567653530495889</v>
      </c>
      <c r="BD12" s="99">
        <f t="shared" si="20"/>
        <v>78.718309178518552</v>
      </c>
      <c r="BE12" s="99">
        <f t="shared" si="20"/>
        <v>78.869290452527679</v>
      </c>
      <c r="BF12" s="98">
        <f t="shared" si="20"/>
        <v>79.020598109667972</v>
      </c>
      <c r="BG12" s="99">
        <f t="shared" si="20"/>
        <v>79.172232908913401</v>
      </c>
      <c r="BH12" s="99">
        <f t="shared" si="20"/>
        <v>79.324195611071644</v>
      </c>
      <c r="BI12" s="99">
        <f t="shared" si="20"/>
        <v>79.476486978788586</v>
      </c>
      <c r="BJ12" s="99">
        <f t="shared" si="20"/>
        <v>79.629107776552843</v>
      </c>
      <c r="BK12" s="99">
        <f t="shared" si="20"/>
        <v>79.78205877070036</v>
      </c>
      <c r="BL12" s="99">
        <f t="shared" si="20"/>
        <v>79.935340729418897</v>
      </c>
      <c r="BM12" s="99">
        <f t="shared" si="20"/>
        <v>80.088954422752607</v>
      </c>
      <c r="BN12" s="99">
        <f t="shared" si="20"/>
        <v>80.242900622606584</v>
      </c>
      <c r="BO12" s="99">
        <f t="shared" si="20"/>
        <v>80.397180102751491</v>
      </c>
      <c r="BP12" s="99">
        <f t="shared" si="20"/>
        <v>80.551793638828087</v>
      </c>
      <c r="BQ12" s="99">
        <f t="shared" si="20"/>
        <v>80.70674200835191</v>
      </c>
      <c r="BR12" s="98">
        <f t="shared" si="20"/>
        <v>80.862025990717783</v>
      </c>
    </row>
    <row r="13" spans="1:70" s="49" customFormat="1" ht="13.2" x14ac:dyDescent="0.3">
      <c r="A13" s="37"/>
      <c r="C13" s="49" t="s">
        <v>61</v>
      </c>
      <c r="D13" s="75"/>
      <c r="E13" s="96">
        <f t="shared" si="14"/>
        <v>613.81390816377632</v>
      </c>
      <c r="F13" s="96">
        <f t="shared" si="15"/>
        <v>672.83232642789631</v>
      </c>
      <c r="G13" s="96">
        <f t="shared" si="16"/>
        <v>735.53559873193296</v>
      </c>
      <c r="H13" s="96">
        <f t="shared" si="17"/>
        <v>802.13284907303216</v>
      </c>
      <c r="I13" s="96">
        <f t="shared" si="18"/>
        <v>872.84467619435384</v>
      </c>
      <c r="J13" s="114"/>
      <c r="K13" s="97">
        <f t="shared" ref="K13:AP13" si="21">K8-K12</f>
        <v>48.983333333333348</v>
      </c>
      <c r="L13" s="97">
        <f t="shared" si="21"/>
        <v>49.370829329259635</v>
      </c>
      <c r="M13" s="97">
        <f t="shared" si="21"/>
        <v>49.76030085300944</v>
      </c>
      <c r="N13" s="97">
        <f t="shared" si="21"/>
        <v>50.151757043560892</v>
      </c>
      <c r="O13" s="97">
        <f t="shared" si="21"/>
        <v>50.545207080738834</v>
      </c>
      <c r="P13" s="97">
        <f t="shared" si="21"/>
        <v>50.940660185394307</v>
      </c>
      <c r="Q13" s="97">
        <f t="shared" si="21"/>
        <v>51.338125619585739</v>
      </c>
      <c r="R13" s="97">
        <f t="shared" si="21"/>
        <v>51.737612686759576</v>
      </c>
      <c r="S13" s="97">
        <f t="shared" si="21"/>
        <v>52.139130731932966</v>
      </c>
      <c r="T13" s="97">
        <f t="shared" si="21"/>
        <v>52.542689141876423</v>
      </c>
      <c r="U13" s="97">
        <f t="shared" si="21"/>
        <v>52.948297345297959</v>
      </c>
      <c r="V13" s="96">
        <f t="shared" si="21"/>
        <v>53.355964813027228</v>
      </c>
      <c r="W13" s="97">
        <f t="shared" si="21"/>
        <v>53.765701058201074</v>
      </c>
      <c r="X13" s="97">
        <f t="shared" si="21"/>
        <v>54.177515636449883</v>
      </c>
      <c r="Y13" s="97">
        <f t="shared" si="21"/>
        <v>54.591418146084322</v>
      </c>
      <c r="Z13" s="97">
        <f t="shared" si="21"/>
        <v>55.007418228283086</v>
      </c>
      <c r="AA13" s="97">
        <f t="shared" si="21"/>
        <v>55.425525567281966</v>
      </c>
      <c r="AB13" s="97">
        <f t="shared" si="21"/>
        <v>55.845749890562843</v>
      </c>
      <c r="AC13" s="97">
        <f t="shared" si="21"/>
        <v>56.268100969044141</v>
      </c>
      <c r="AD13" s="97">
        <f t="shared" si="21"/>
        <v>56.692588617272136</v>
      </c>
      <c r="AE13" s="97">
        <f t="shared" si="21"/>
        <v>57.119222693612357</v>
      </c>
      <c r="AF13" s="97">
        <f t="shared" si="21"/>
        <v>57.5480131004431</v>
      </c>
      <c r="AG13" s="97">
        <f t="shared" si="21"/>
        <v>57.978969784348408</v>
      </c>
      <c r="AH13" s="96">
        <f t="shared" si="21"/>
        <v>58.412102736312988</v>
      </c>
      <c r="AI13" s="97">
        <f t="shared" si="21"/>
        <v>58.847421991917315</v>
      </c>
      <c r="AJ13" s="97">
        <f t="shared" si="21"/>
        <v>59.284937631533808</v>
      </c>
      <c r="AK13" s="97">
        <f t="shared" si="21"/>
        <v>59.724659780523737</v>
      </c>
      <c r="AL13" s="97">
        <f t="shared" si="21"/>
        <v>60.166598609435908</v>
      </c>
      <c r="AM13" s="97">
        <f t="shared" si="21"/>
        <v>60.610764334204077</v>
      </c>
      <c r="AN13" s="97">
        <f t="shared" si="21"/>
        <v>61.057167216347523</v>
      </c>
      <c r="AO13" s="97">
        <f t="shared" si="21"/>
        <v>61.505817563171618</v>
      </c>
      <c r="AP13" s="97">
        <f t="shared" si="21"/>
        <v>61.956725727968504</v>
      </c>
      <c r="AQ13" s="97">
        <f t="shared" ref="AQ13:BR13" si="22">AQ8-AQ12</f>
        <v>62.409902110219804</v>
      </c>
      <c r="AR13" s="97">
        <f t="shared" si="22"/>
        <v>62.865357155799956</v>
      </c>
      <c r="AS13" s="97">
        <f t="shared" si="22"/>
        <v>63.323101357179581</v>
      </c>
      <c r="AT13" s="96">
        <f t="shared" si="22"/>
        <v>63.783145253631105</v>
      </c>
      <c r="AU13" s="97">
        <f t="shared" si="22"/>
        <v>64.245499431433927</v>
      </c>
      <c r="AV13" s="97">
        <f t="shared" si="22"/>
        <v>64.71017452408168</v>
      </c>
      <c r="AW13" s="97">
        <f t="shared" si="22"/>
        <v>65.177181212489586</v>
      </c>
      <c r="AX13" s="97">
        <f t="shared" si="22"/>
        <v>65.646530225202525</v>
      </c>
      <c r="AY13" s="97">
        <f t="shared" si="22"/>
        <v>66.118232338605623</v>
      </c>
      <c r="AZ13" s="97">
        <f t="shared" si="22"/>
        <v>66.592298377133147</v>
      </c>
      <c r="BA13" s="97">
        <f t="shared" si="22"/>
        <v>67.068739213481081</v>
      </c>
      <c r="BB13" s="97">
        <f t="shared" si="22"/>
        <v>67.547565768818373</v>
      </c>
      <c r="BC13" s="97">
        <f t="shared" si="22"/>
        <v>68.028789013000264</v>
      </c>
      <c r="BD13" s="97">
        <f t="shared" si="22"/>
        <v>68.51241996478285</v>
      </c>
      <c r="BE13" s="97">
        <f t="shared" si="22"/>
        <v>68.998469692037219</v>
      </c>
      <c r="BF13" s="96">
        <f t="shared" si="22"/>
        <v>69.486949311965859</v>
      </c>
      <c r="BG13" s="97">
        <f t="shared" si="22"/>
        <v>69.977869991319693</v>
      </c>
      <c r="BH13" s="97">
        <f t="shared" si="22"/>
        <v>70.471242946615092</v>
      </c>
      <c r="BI13" s="97">
        <f t="shared" si="22"/>
        <v>70.967079444353629</v>
      </c>
      <c r="BJ13" s="97">
        <f t="shared" si="22"/>
        <v>71.465390801241057</v>
      </c>
      <c r="BK13" s="97">
        <f t="shared" si="22"/>
        <v>71.966188384408156</v>
      </c>
      <c r="BL13" s="97">
        <f t="shared" si="22"/>
        <v>72.469483611632143</v>
      </c>
      <c r="BM13" s="97">
        <f t="shared" si="22"/>
        <v>72.975287951560205</v>
      </c>
      <c r="BN13" s="97">
        <f t="shared" si="22"/>
        <v>73.483612923931759</v>
      </c>
      <c r="BO13" s="97">
        <f t="shared" si="22"/>
        <v>73.994470099803635</v>
      </c>
      <c r="BP13" s="97">
        <f t="shared" si="22"/>
        <v>74.507871101775891</v>
      </c>
      <c r="BQ13" s="97">
        <f t="shared" si="22"/>
        <v>75.023827604217615</v>
      </c>
      <c r="BR13" s="96">
        <f t="shared" si="22"/>
        <v>75.542351333495091</v>
      </c>
    </row>
    <row r="14" spans="1:70" s="14" customFormat="1" ht="13.2" x14ac:dyDescent="0.3">
      <c r="A14" s="13"/>
      <c r="C14" s="61" t="s">
        <v>77</v>
      </c>
      <c r="E14" s="89">
        <f t="shared" si="14"/>
        <v>0</v>
      </c>
      <c r="F14" s="89">
        <f t="shared" si="15"/>
        <v>0</v>
      </c>
      <c r="G14" s="89">
        <f t="shared" si="16"/>
        <v>0</v>
      </c>
      <c r="H14" s="89">
        <f t="shared" si="17"/>
        <v>0</v>
      </c>
      <c r="I14" s="89">
        <f t="shared" si="18"/>
        <v>0</v>
      </c>
      <c r="J14" s="113"/>
      <c r="K14" s="90">
        <f>CapEx!K13</f>
        <v>0</v>
      </c>
      <c r="L14" s="91">
        <f>CapEx!L13</f>
        <v>0</v>
      </c>
      <c r="M14" s="91">
        <f>CapEx!M13</f>
        <v>0</v>
      </c>
      <c r="N14" s="91">
        <f>CapEx!N13</f>
        <v>0</v>
      </c>
      <c r="O14" s="91">
        <f>CapEx!O13</f>
        <v>0</v>
      </c>
      <c r="P14" s="91">
        <f>CapEx!P13</f>
        <v>0</v>
      </c>
      <c r="Q14" s="91">
        <f>CapEx!Q13</f>
        <v>0</v>
      </c>
      <c r="R14" s="91">
        <f>CapEx!R13</f>
        <v>0</v>
      </c>
      <c r="S14" s="91">
        <f>CapEx!S13</f>
        <v>0</v>
      </c>
      <c r="T14" s="91">
        <f>CapEx!T13</f>
        <v>0</v>
      </c>
      <c r="U14" s="91">
        <f>CapEx!U13</f>
        <v>0</v>
      </c>
      <c r="V14" s="89">
        <f>CapEx!V13</f>
        <v>0</v>
      </c>
      <c r="W14" s="90">
        <f>CapEx!W13</f>
        <v>0</v>
      </c>
      <c r="X14" s="91">
        <f>CapEx!X13</f>
        <v>0</v>
      </c>
      <c r="Y14" s="91">
        <f>CapEx!Y13</f>
        <v>0</v>
      </c>
      <c r="Z14" s="91">
        <f>CapEx!Z13</f>
        <v>0</v>
      </c>
      <c r="AA14" s="91">
        <f>CapEx!AA13</f>
        <v>0</v>
      </c>
      <c r="AB14" s="91">
        <f>CapEx!AB13</f>
        <v>0</v>
      </c>
      <c r="AC14" s="91">
        <f>CapEx!AC13</f>
        <v>0</v>
      </c>
      <c r="AD14" s="91">
        <f>CapEx!AD13</f>
        <v>0</v>
      </c>
      <c r="AE14" s="91">
        <f>CapEx!AE13</f>
        <v>0</v>
      </c>
      <c r="AF14" s="91">
        <f>CapEx!AF13</f>
        <v>0</v>
      </c>
      <c r="AG14" s="91">
        <f>CapEx!AG13</f>
        <v>0</v>
      </c>
      <c r="AH14" s="89">
        <f>CapEx!AH13</f>
        <v>0</v>
      </c>
      <c r="AI14" s="90">
        <f>CapEx!AI13</f>
        <v>0</v>
      </c>
      <c r="AJ14" s="91">
        <f>CapEx!AJ13</f>
        <v>0</v>
      </c>
      <c r="AK14" s="91">
        <f>CapEx!AK13</f>
        <v>0</v>
      </c>
      <c r="AL14" s="91">
        <f>CapEx!AL13</f>
        <v>0</v>
      </c>
      <c r="AM14" s="91">
        <f>CapEx!AM13</f>
        <v>0</v>
      </c>
      <c r="AN14" s="91">
        <f>CapEx!AN13</f>
        <v>0</v>
      </c>
      <c r="AO14" s="91">
        <f>CapEx!AO13</f>
        <v>0</v>
      </c>
      <c r="AP14" s="91">
        <f>CapEx!AP13</f>
        <v>0</v>
      </c>
      <c r="AQ14" s="91">
        <f>CapEx!AQ13</f>
        <v>0</v>
      </c>
      <c r="AR14" s="91">
        <f>CapEx!AR13</f>
        <v>0</v>
      </c>
      <c r="AS14" s="91">
        <f>CapEx!AS13</f>
        <v>0</v>
      </c>
      <c r="AT14" s="89">
        <f>CapEx!AT13</f>
        <v>0</v>
      </c>
      <c r="AU14" s="90">
        <f>CapEx!AU13</f>
        <v>0</v>
      </c>
      <c r="AV14" s="91">
        <f>CapEx!AV13</f>
        <v>0</v>
      </c>
      <c r="AW14" s="91">
        <f>CapEx!AW13</f>
        <v>0</v>
      </c>
      <c r="AX14" s="91">
        <f>CapEx!AX13</f>
        <v>0</v>
      </c>
      <c r="AY14" s="91">
        <f>CapEx!AY13</f>
        <v>0</v>
      </c>
      <c r="AZ14" s="91">
        <f>CapEx!AZ13</f>
        <v>0</v>
      </c>
      <c r="BA14" s="91">
        <f>CapEx!BA13</f>
        <v>0</v>
      </c>
      <c r="BB14" s="91">
        <f>CapEx!BB13</f>
        <v>0</v>
      </c>
      <c r="BC14" s="91">
        <f>CapEx!BC13</f>
        <v>0</v>
      </c>
      <c r="BD14" s="91">
        <f>CapEx!BD13</f>
        <v>0</v>
      </c>
      <c r="BE14" s="91">
        <f>CapEx!BE13</f>
        <v>0</v>
      </c>
      <c r="BF14" s="89">
        <f>CapEx!BF13</f>
        <v>0</v>
      </c>
      <c r="BG14" s="90">
        <f>CapEx!BG13</f>
        <v>0</v>
      </c>
      <c r="BH14" s="91">
        <f>CapEx!BH13</f>
        <v>0</v>
      </c>
      <c r="BI14" s="91">
        <f>CapEx!BI13</f>
        <v>0</v>
      </c>
      <c r="BJ14" s="91">
        <f>CapEx!BJ13</f>
        <v>0</v>
      </c>
      <c r="BK14" s="91">
        <f>CapEx!BK13</f>
        <v>0</v>
      </c>
      <c r="BL14" s="91">
        <f>CapEx!BL13</f>
        <v>0</v>
      </c>
      <c r="BM14" s="91">
        <f>CapEx!BM13</f>
        <v>0</v>
      </c>
      <c r="BN14" s="91">
        <f>CapEx!BN13</f>
        <v>0</v>
      </c>
      <c r="BO14" s="91">
        <f>CapEx!BO13</f>
        <v>0</v>
      </c>
      <c r="BP14" s="91">
        <f>CapEx!BP13</f>
        <v>0</v>
      </c>
      <c r="BQ14" s="91">
        <f>CapEx!BQ13</f>
        <v>0</v>
      </c>
      <c r="BR14" s="89">
        <f>CapEx!BR13</f>
        <v>0</v>
      </c>
    </row>
    <row r="15" spans="1:70" s="14" customFormat="1" ht="13.2" x14ac:dyDescent="0.3">
      <c r="A15" s="13"/>
      <c r="C15" s="61" t="s">
        <v>78</v>
      </c>
      <c r="E15" s="89">
        <f t="shared" si="14"/>
        <v>3.9999999999999996</v>
      </c>
      <c r="F15" s="89">
        <f t="shared" si="15"/>
        <v>0</v>
      </c>
      <c r="G15" s="89">
        <f t="shared" si="16"/>
        <v>0</v>
      </c>
      <c r="H15" s="89">
        <f t="shared" si="17"/>
        <v>0</v>
      </c>
      <c r="I15" s="89">
        <f t="shared" si="18"/>
        <v>0</v>
      </c>
      <c r="J15" s="113"/>
      <c r="K15" s="90">
        <f>CapEx!K14</f>
        <v>0.4</v>
      </c>
      <c r="L15" s="91">
        <f>CapEx!L14</f>
        <v>0.4</v>
      </c>
      <c r="M15" s="91">
        <f>CapEx!M14</f>
        <v>0.4</v>
      </c>
      <c r="N15" s="91">
        <f>CapEx!N14</f>
        <v>0.4</v>
      </c>
      <c r="O15" s="91">
        <f>CapEx!O14</f>
        <v>0.4</v>
      </c>
      <c r="P15" s="91">
        <f>CapEx!P14</f>
        <v>0.4</v>
      </c>
      <c r="Q15" s="91">
        <f>CapEx!Q14</f>
        <v>0.4</v>
      </c>
      <c r="R15" s="91">
        <f>CapEx!R14</f>
        <v>0.4</v>
      </c>
      <c r="S15" s="91">
        <f>CapEx!S14</f>
        <v>0.4</v>
      </c>
      <c r="T15" s="91">
        <f>CapEx!T14</f>
        <v>0.4</v>
      </c>
      <c r="U15" s="91">
        <f>CapEx!U14</f>
        <v>0</v>
      </c>
      <c r="V15" s="89">
        <f>CapEx!V14</f>
        <v>0</v>
      </c>
      <c r="W15" s="90">
        <f>CapEx!W14</f>
        <v>0</v>
      </c>
      <c r="X15" s="91">
        <f>CapEx!X14</f>
        <v>0</v>
      </c>
      <c r="Y15" s="91">
        <f>CapEx!Y14</f>
        <v>0</v>
      </c>
      <c r="Z15" s="91">
        <f>CapEx!Z14</f>
        <v>0</v>
      </c>
      <c r="AA15" s="91">
        <f>CapEx!AA14</f>
        <v>0</v>
      </c>
      <c r="AB15" s="91">
        <f>CapEx!AB14</f>
        <v>0</v>
      </c>
      <c r="AC15" s="91">
        <f>CapEx!AC14</f>
        <v>0</v>
      </c>
      <c r="AD15" s="91">
        <f>CapEx!AD14</f>
        <v>0</v>
      </c>
      <c r="AE15" s="91">
        <f>CapEx!AE14</f>
        <v>0</v>
      </c>
      <c r="AF15" s="91">
        <f>CapEx!AF14</f>
        <v>0</v>
      </c>
      <c r="AG15" s="91">
        <f>CapEx!AG14</f>
        <v>0</v>
      </c>
      <c r="AH15" s="89">
        <f>CapEx!AH14</f>
        <v>0</v>
      </c>
      <c r="AI15" s="90">
        <f>CapEx!AI14</f>
        <v>0</v>
      </c>
      <c r="AJ15" s="91">
        <f>CapEx!AJ14</f>
        <v>0</v>
      </c>
      <c r="AK15" s="91">
        <f>CapEx!AK14</f>
        <v>0</v>
      </c>
      <c r="AL15" s="91">
        <f>CapEx!AL14</f>
        <v>0</v>
      </c>
      <c r="AM15" s="91">
        <f>CapEx!AM14</f>
        <v>0</v>
      </c>
      <c r="AN15" s="91">
        <f>CapEx!AN14</f>
        <v>0</v>
      </c>
      <c r="AO15" s="91">
        <f>CapEx!AO14</f>
        <v>0</v>
      </c>
      <c r="AP15" s="91">
        <f>CapEx!AP14</f>
        <v>0</v>
      </c>
      <c r="AQ15" s="91">
        <f>CapEx!AQ14</f>
        <v>0</v>
      </c>
      <c r="AR15" s="91">
        <f>CapEx!AR14</f>
        <v>0</v>
      </c>
      <c r="AS15" s="91">
        <f>CapEx!AS14</f>
        <v>0</v>
      </c>
      <c r="AT15" s="89">
        <f>CapEx!AT14</f>
        <v>0</v>
      </c>
      <c r="AU15" s="90">
        <f>CapEx!AU14</f>
        <v>0</v>
      </c>
      <c r="AV15" s="91">
        <f>CapEx!AV14</f>
        <v>0</v>
      </c>
      <c r="AW15" s="91">
        <f>CapEx!AW14</f>
        <v>0</v>
      </c>
      <c r="AX15" s="91">
        <f>CapEx!AX14</f>
        <v>0</v>
      </c>
      <c r="AY15" s="91">
        <f>CapEx!AY14</f>
        <v>0</v>
      </c>
      <c r="AZ15" s="91">
        <f>CapEx!AZ14</f>
        <v>0</v>
      </c>
      <c r="BA15" s="91">
        <f>CapEx!BA14</f>
        <v>0</v>
      </c>
      <c r="BB15" s="91">
        <f>CapEx!BB14</f>
        <v>0</v>
      </c>
      <c r="BC15" s="91">
        <f>CapEx!BC14</f>
        <v>0</v>
      </c>
      <c r="BD15" s="91">
        <f>CapEx!BD14</f>
        <v>0</v>
      </c>
      <c r="BE15" s="91">
        <f>CapEx!BE14</f>
        <v>0</v>
      </c>
      <c r="BF15" s="89">
        <f>CapEx!BF14</f>
        <v>0</v>
      </c>
      <c r="BG15" s="90">
        <f>CapEx!BG14</f>
        <v>0</v>
      </c>
      <c r="BH15" s="91">
        <f>CapEx!BH14</f>
        <v>0</v>
      </c>
      <c r="BI15" s="91">
        <f>CapEx!BI14</f>
        <v>0</v>
      </c>
      <c r="BJ15" s="91">
        <f>CapEx!BJ14</f>
        <v>0</v>
      </c>
      <c r="BK15" s="91">
        <f>CapEx!BK14</f>
        <v>0</v>
      </c>
      <c r="BL15" s="91">
        <f>CapEx!BL14</f>
        <v>0</v>
      </c>
      <c r="BM15" s="91">
        <f>CapEx!BM14</f>
        <v>0</v>
      </c>
      <c r="BN15" s="91">
        <f>CapEx!BN14</f>
        <v>0</v>
      </c>
      <c r="BO15" s="91">
        <f>CapEx!BO14</f>
        <v>0</v>
      </c>
      <c r="BP15" s="91">
        <f>CapEx!BP14</f>
        <v>0</v>
      </c>
      <c r="BQ15" s="91">
        <f>CapEx!BQ14</f>
        <v>0</v>
      </c>
      <c r="BR15" s="89">
        <f>CapEx!BR14</f>
        <v>0</v>
      </c>
    </row>
    <row r="16" spans="1:70" s="14" customFormat="1" ht="13.2" x14ac:dyDescent="0.3">
      <c r="A16" s="13"/>
      <c r="C16" s="61" t="s">
        <v>79</v>
      </c>
      <c r="E16" s="89">
        <f t="shared" si="14"/>
        <v>0</v>
      </c>
      <c r="F16" s="89">
        <f t="shared" si="15"/>
        <v>0</v>
      </c>
      <c r="G16" s="89">
        <f t="shared" si="16"/>
        <v>0</v>
      </c>
      <c r="H16" s="89">
        <f t="shared" si="17"/>
        <v>0</v>
      </c>
      <c r="I16" s="89">
        <f t="shared" si="18"/>
        <v>0</v>
      </c>
      <c r="J16" s="113"/>
      <c r="K16" s="90">
        <f>CapEx!K15</f>
        <v>0</v>
      </c>
      <c r="L16" s="91">
        <f>CapEx!L15</f>
        <v>0</v>
      </c>
      <c r="M16" s="91">
        <f>CapEx!M15</f>
        <v>0</v>
      </c>
      <c r="N16" s="91">
        <f>CapEx!N15</f>
        <v>0</v>
      </c>
      <c r="O16" s="91">
        <f>CapEx!O15</f>
        <v>0</v>
      </c>
      <c r="P16" s="91">
        <f>CapEx!P15</f>
        <v>0</v>
      </c>
      <c r="Q16" s="91">
        <f>CapEx!Q15</f>
        <v>0</v>
      </c>
      <c r="R16" s="91">
        <f>CapEx!R15</f>
        <v>0</v>
      </c>
      <c r="S16" s="91">
        <f>CapEx!S15</f>
        <v>0</v>
      </c>
      <c r="T16" s="91">
        <f>CapEx!T15</f>
        <v>0</v>
      </c>
      <c r="U16" s="91">
        <f>CapEx!U15</f>
        <v>0</v>
      </c>
      <c r="V16" s="89">
        <f>CapEx!V15</f>
        <v>0</v>
      </c>
      <c r="W16" s="90">
        <f>CapEx!W15</f>
        <v>0</v>
      </c>
      <c r="X16" s="91">
        <f>CapEx!X15</f>
        <v>0</v>
      </c>
      <c r="Y16" s="91">
        <f>CapEx!Y15</f>
        <v>0</v>
      </c>
      <c r="Z16" s="91">
        <f>CapEx!Z15</f>
        <v>0</v>
      </c>
      <c r="AA16" s="91">
        <f>CapEx!AA15</f>
        <v>0</v>
      </c>
      <c r="AB16" s="91">
        <f>CapEx!AB15</f>
        <v>0</v>
      </c>
      <c r="AC16" s="91">
        <f>CapEx!AC15</f>
        <v>0</v>
      </c>
      <c r="AD16" s="91">
        <f>CapEx!AD15</f>
        <v>0</v>
      </c>
      <c r="AE16" s="91">
        <f>CapEx!AE15</f>
        <v>0</v>
      </c>
      <c r="AF16" s="91">
        <f>CapEx!AF15</f>
        <v>0</v>
      </c>
      <c r="AG16" s="91">
        <f>CapEx!AG15</f>
        <v>0</v>
      </c>
      <c r="AH16" s="89">
        <f>CapEx!AH15</f>
        <v>0</v>
      </c>
      <c r="AI16" s="90">
        <f>CapEx!AI15</f>
        <v>0</v>
      </c>
      <c r="AJ16" s="91">
        <f>CapEx!AJ15</f>
        <v>0</v>
      </c>
      <c r="AK16" s="91">
        <f>CapEx!AK15</f>
        <v>0</v>
      </c>
      <c r="AL16" s="91">
        <f>CapEx!AL15</f>
        <v>0</v>
      </c>
      <c r="AM16" s="91">
        <f>CapEx!AM15</f>
        <v>0</v>
      </c>
      <c r="AN16" s="91">
        <f>CapEx!AN15</f>
        <v>0</v>
      </c>
      <c r="AO16" s="91">
        <f>CapEx!AO15</f>
        <v>0</v>
      </c>
      <c r="AP16" s="91">
        <f>CapEx!AP15</f>
        <v>0</v>
      </c>
      <c r="AQ16" s="91">
        <f>CapEx!AQ15</f>
        <v>0</v>
      </c>
      <c r="AR16" s="91">
        <f>CapEx!AR15</f>
        <v>0</v>
      </c>
      <c r="AS16" s="91">
        <f>CapEx!AS15</f>
        <v>0</v>
      </c>
      <c r="AT16" s="89">
        <f>CapEx!AT15</f>
        <v>0</v>
      </c>
      <c r="AU16" s="90">
        <f>CapEx!AU15</f>
        <v>0</v>
      </c>
      <c r="AV16" s="91">
        <f>CapEx!AV15</f>
        <v>0</v>
      </c>
      <c r="AW16" s="91">
        <f>CapEx!AW15</f>
        <v>0</v>
      </c>
      <c r="AX16" s="91">
        <f>CapEx!AX15</f>
        <v>0</v>
      </c>
      <c r="AY16" s="91">
        <f>CapEx!AY15</f>
        <v>0</v>
      </c>
      <c r="AZ16" s="91">
        <f>CapEx!AZ15</f>
        <v>0</v>
      </c>
      <c r="BA16" s="91">
        <f>CapEx!BA15</f>
        <v>0</v>
      </c>
      <c r="BB16" s="91">
        <f>CapEx!BB15</f>
        <v>0</v>
      </c>
      <c r="BC16" s="91">
        <f>CapEx!BC15</f>
        <v>0</v>
      </c>
      <c r="BD16" s="91">
        <f>CapEx!BD15</f>
        <v>0</v>
      </c>
      <c r="BE16" s="91">
        <f>CapEx!BE15</f>
        <v>0</v>
      </c>
      <c r="BF16" s="89">
        <f>CapEx!BF15</f>
        <v>0</v>
      </c>
      <c r="BG16" s="90">
        <f>CapEx!BG15</f>
        <v>0</v>
      </c>
      <c r="BH16" s="91">
        <f>CapEx!BH15</f>
        <v>0</v>
      </c>
      <c r="BI16" s="91">
        <f>CapEx!BI15</f>
        <v>0</v>
      </c>
      <c r="BJ16" s="91">
        <f>CapEx!BJ15</f>
        <v>0</v>
      </c>
      <c r="BK16" s="91">
        <f>CapEx!BK15</f>
        <v>0</v>
      </c>
      <c r="BL16" s="91">
        <f>CapEx!BL15</f>
        <v>0</v>
      </c>
      <c r="BM16" s="91">
        <f>CapEx!BM15</f>
        <v>0</v>
      </c>
      <c r="BN16" s="91">
        <f>CapEx!BN15</f>
        <v>0</v>
      </c>
      <c r="BO16" s="91">
        <f>CapEx!BO15</f>
        <v>0</v>
      </c>
      <c r="BP16" s="91">
        <f>CapEx!BP15</f>
        <v>0</v>
      </c>
      <c r="BQ16" s="91">
        <f>CapEx!BQ15</f>
        <v>0</v>
      </c>
      <c r="BR16" s="89">
        <f>CapEx!BR15</f>
        <v>0</v>
      </c>
    </row>
    <row r="17" spans="1:70" s="14" customFormat="1" ht="13.2" x14ac:dyDescent="0.3">
      <c r="A17" s="13"/>
      <c r="C17" s="61" t="s">
        <v>80</v>
      </c>
      <c r="E17" s="89">
        <f t="shared" si="14"/>
        <v>50.000000000000007</v>
      </c>
      <c r="F17" s="89">
        <f t="shared" si="15"/>
        <v>50.000000000000007</v>
      </c>
      <c r="G17" s="89">
        <f t="shared" si="16"/>
        <v>0</v>
      </c>
      <c r="H17" s="89">
        <f t="shared" si="17"/>
        <v>0</v>
      </c>
      <c r="I17" s="89">
        <f t="shared" si="18"/>
        <v>0</v>
      </c>
      <c r="J17" s="113"/>
      <c r="K17" s="90">
        <f>CapEx!K16</f>
        <v>0</v>
      </c>
      <c r="L17" s="91">
        <f>CapEx!L16</f>
        <v>0</v>
      </c>
      <c r="M17" s="91">
        <f>CapEx!M16</f>
        <v>0</v>
      </c>
      <c r="N17" s="91">
        <f>CapEx!N16</f>
        <v>0</v>
      </c>
      <c r="O17" s="91">
        <f>CapEx!O16</f>
        <v>0</v>
      </c>
      <c r="P17" s="91">
        <f>CapEx!P16</f>
        <v>7.1428571428571432</v>
      </c>
      <c r="Q17" s="91">
        <f>CapEx!Q16</f>
        <v>7.1428571428571432</v>
      </c>
      <c r="R17" s="91">
        <f>CapEx!R16</f>
        <v>7.1428571428571432</v>
      </c>
      <c r="S17" s="91">
        <f>CapEx!S16</f>
        <v>7.1428571428571432</v>
      </c>
      <c r="T17" s="91">
        <f>CapEx!T16</f>
        <v>7.1428571428571432</v>
      </c>
      <c r="U17" s="91">
        <f>CapEx!U16</f>
        <v>7.1428571428571432</v>
      </c>
      <c r="V17" s="89">
        <f>CapEx!V16</f>
        <v>7.1428571428571432</v>
      </c>
      <c r="W17" s="90">
        <f>CapEx!W16</f>
        <v>7.1428571428571432</v>
      </c>
      <c r="X17" s="91">
        <f>CapEx!X16</f>
        <v>7.1428571428571432</v>
      </c>
      <c r="Y17" s="91">
        <f>CapEx!Y16</f>
        <v>7.1428571428571432</v>
      </c>
      <c r="Z17" s="91">
        <f>CapEx!Z16</f>
        <v>7.1428571428571432</v>
      </c>
      <c r="AA17" s="91">
        <f>CapEx!AA16</f>
        <v>7.1428571428571432</v>
      </c>
      <c r="AB17" s="91">
        <f>CapEx!AB16</f>
        <v>7.1428571428571432</v>
      </c>
      <c r="AC17" s="91">
        <f>CapEx!AC16</f>
        <v>7.1428571428571432</v>
      </c>
      <c r="AD17" s="91">
        <f>CapEx!AD16</f>
        <v>0</v>
      </c>
      <c r="AE17" s="91">
        <f>CapEx!AE16</f>
        <v>0</v>
      </c>
      <c r="AF17" s="91">
        <f>CapEx!AF16</f>
        <v>0</v>
      </c>
      <c r="AG17" s="91">
        <f>CapEx!AG16</f>
        <v>0</v>
      </c>
      <c r="AH17" s="89">
        <f>CapEx!AH16</f>
        <v>0</v>
      </c>
      <c r="AI17" s="90">
        <f>CapEx!AI16</f>
        <v>0</v>
      </c>
      <c r="AJ17" s="91">
        <f>CapEx!AJ16</f>
        <v>0</v>
      </c>
      <c r="AK17" s="91">
        <f>CapEx!AK16</f>
        <v>0</v>
      </c>
      <c r="AL17" s="91">
        <f>CapEx!AL16</f>
        <v>0</v>
      </c>
      <c r="AM17" s="91">
        <f>CapEx!AM16</f>
        <v>0</v>
      </c>
      <c r="AN17" s="91">
        <f>CapEx!AN16</f>
        <v>0</v>
      </c>
      <c r="AO17" s="91">
        <f>CapEx!AO16</f>
        <v>0</v>
      </c>
      <c r="AP17" s="91">
        <f>CapEx!AP16</f>
        <v>0</v>
      </c>
      <c r="AQ17" s="91">
        <f>CapEx!AQ16</f>
        <v>0</v>
      </c>
      <c r="AR17" s="91">
        <f>CapEx!AR16</f>
        <v>0</v>
      </c>
      <c r="AS17" s="91">
        <f>CapEx!AS16</f>
        <v>0</v>
      </c>
      <c r="AT17" s="89">
        <f>CapEx!AT16</f>
        <v>0</v>
      </c>
      <c r="AU17" s="90">
        <f>CapEx!AU16</f>
        <v>0</v>
      </c>
      <c r="AV17" s="91">
        <f>CapEx!AV16</f>
        <v>0</v>
      </c>
      <c r="AW17" s="91">
        <f>CapEx!AW16</f>
        <v>0</v>
      </c>
      <c r="AX17" s="91">
        <f>CapEx!AX16</f>
        <v>0</v>
      </c>
      <c r="AY17" s="91">
        <f>CapEx!AY16</f>
        <v>0</v>
      </c>
      <c r="AZ17" s="91">
        <f>CapEx!AZ16</f>
        <v>0</v>
      </c>
      <c r="BA17" s="91">
        <f>CapEx!BA16</f>
        <v>0</v>
      </c>
      <c r="BB17" s="91">
        <f>CapEx!BB16</f>
        <v>0</v>
      </c>
      <c r="BC17" s="91">
        <f>CapEx!BC16</f>
        <v>0</v>
      </c>
      <c r="BD17" s="91">
        <f>CapEx!BD16</f>
        <v>0</v>
      </c>
      <c r="BE17" s="91">
        <f>CapEx!BE16</f>
        <v>0</v>
      </c>
      <c r="BF17" s="89">
        <f>CapEx!BF16</f>
        <v>0</v>
      </c>
      <c r="BG17" s="90">
        <f>CapEx!BG16</f>
        <v>0</v>
      </c>
      <c r="BH17" s="91">
        <f>CapEx!BH16</f>
        <v>0</v>
      </c>
      <c r="BI17" s="91">
        <f>CapEx!BI16</f>
        <v>0</v>
      </c>
      <c r="BJ17" s="91">
        <f>CapEx!BJ16</f>
        <v>0</v>
      </c>
      <c r="BK17" s="91">
        <f>CapEx!BK16</f>
        <v>0</v>
      </c>
      <c r="BL17" s="91">
        <f>CapEx!BL16</f>
        <v>0</v>
      </c>
      <c r="BM17" s="91">
        <f>CapEx!BM16</f>
        <v>0</v>
      </c>
      <c r="BN17" s="91">
        <f>CapEx!BN16</f>
        <v>0</v>
      </c>
      <c r="BO17" s="91">
        <f>CapEx!BO16</f>
        <v>0</v>
      </c>
      <c r="BP17" s="91">
        <f>CapEx!BP16</f>
        <v>0</v>
      </c>
      <c r="BQ17" s="91">
        <f>CapEx!BQ16</f>
        <v>0</v>
      </c>
      <c r="BR17" s="89">
        <f>CapEx!BR16</f>
        <v>0</v>
      </c>
    </row>
    <row r="18" spans="1:70" s="14" customFormat="1" ht="13.2" x14ac:dyDescent="0.3">
      <c r="A18" s="13"/>
      <c r="C18" s="52" t="str">
        <f>CapEx!C18</f>
        <v>All other</v>
      </c>
      <c r="E18" s="93">
        <f t="shared" si="14"/>
        <v>0</v>
      </c>
      <c r="F18" s="93">
        <f t="shared" si="15"/>
        <v>0</v>
      </c>
      <c r="G18" s="93">
        <f t="shared" si="16"/>
        <v>0</v>
      </c>
      <c r="H18" s="93">
        <f t="shared" si="17"/>
        <v>0</v>
      </c>
      <c r="I18" s="93">
        <f t="shared" si="18"/>
        <v>0</v>
      </c>
      <c r="J18" s="113"/>
      <c r="K18" s="94">
        <f>CapEx!K18</f>
        <v>0</v>
      </c>
      <c r="L18" s="94">
        <f>CapEx!L18</f>
        <v>0</v>
      </c>
      <c r="M18" s="94">
        <f>CapEx!M18</f>
        <v>0</v>
      </c>
      <c r="N18" s="94">
        <f>CapEx!N18</f>
        <v>0</v>
      </c>
      <c r="O18" s="94">
        <f>CapEx!O18</f>
        <v>0</v>
      </c>
      <c r="P18" s="94">
        <f>CapEx!P18</f>
        <v>0</v>
      </c>
      <c r="Q18" s="94">
        <f>CapEx!Q18</f>
        <v>0</v>
      </c>
      <c r="R18" s="94">
        <f>CapEx!R18</f>
        <v>0</v>
      </c>
      <c r="S18" s="94">
        <f>CapEx!S18</f>
        <v>0</v>
      </c>
      <c r="T18" s="94">
        <f>CapEx!T18</f>
        <v>0</v>
      </c>
      <c r="U18" s="94">
        <f>CapEx!U18</f>
        <v>0</v>
      </c>
      <c r="V18" s="93">
        <f>CapEx!V18</f>
        <v>0</v>
      </c>
      <c r="W18" s="94">
        <f>CapEx!W18</f>
        <v>0</v>
      </c>
      <c r="X18" s="94">
        <f>CapEx!X18</f>
        <v>0</v>
      </c>
      <c r="Y18" s="94">
        <f>CapEx!Y18</f>
        <v>0</v>
      </c>
      <c r="Z18" s="94">
        <f>CapEx!Z18</f>
        <v>0</v>
      </c>
      <c r="AA18" s="94">
        <f>CapEx!AA18</f>
        <v>0</v>
      </c>
      <c r="AB18" s="94">
        <f>CapEx!AB18</f>
        <v>0</v>
      </c>
      <c r="AC18" s="94">
        <f>CapEx!AC18</f>
        <v>0</v>
      </c>
      <c r="AD18" s="94">
        <f>CapEx!AD18</f>
        <v>0</v>
      </c>
      <c r="AE18" s="94">
        <f>CapEx!AE18</f>
        <v>0</v>
      </c>
      <c r="AF18" s="94">
        <f>CapEx!AF18</f>
        <v>0</v>
      </c>
      <c r="AG18" s="94">
        <f>CapEx!AG18</f>
        <v>0</v>
      </c>
      <c r="AH18" s="93">
        <f>CapEx!AH18</f>
        <v>0</v>
      </c>
      <c r="AI18" s="94">
        <f>CapEx!AI18</f>
        <v>0</v>
      </c>
      <c r="AJ18" s="94">
        <f>CapEx!AJ18</f>
        <v>0</v>
      </c>
      <c r="AK18" s="94">
        <f>CapEx!AK18</f>
        <v>0</v>
      </c>
      <c r="AL18" s="94">
        <f>CapEx!AL18</f>
        <v>0</v>
      </c>
      <c r="AM18" s="94">
        <f>CapEx!AM18</f>
        <v>0</v>
      </c>
      <c r="AN18" s="94">
        <f>CapEx!AN18</f>
        <v>0</v>
      </c>
      <c r="AO18" s="94">
        <f>CapEx!AO18</f>
        <v>0</v>
      </c>
      <c r="AP18" s="94">
        <f>CapEx!AP18</f>
        <v>0</v>
      </c>
      <c r="AQ18" s="94">
        <f>CapEx!AQ18</f>
        <v>0</v>
      </c>
      <c r="AR18" s="94">
        <f>CapEx!AR18</f>
        <v>0</v>
      </c>
      <c r="AS18" s="94">
        <f>CapEx!AS18</f>
        <v>0</v>
      </c>
      <c r="AT18" s="93">
        <f>CapEx!AT18</f>
        <v>0</v>
      </c>
      <c r="AU18" s="94">
        <f>CapEx!AU18</f>
        <v>0</v>
      </c>
      <c r="AV18" s="94">
        <f>CapEx!AV18</f>
        <v>0</v>
      </c>
      <c r="AW18" s="94">
        <f>CapEx!AW18</f>
        <v>0</v>
      </c>
      <c r="AX18" s="94">
        <f>CapEx!AX18</f>
        <v>0</v>
      </c>
      <c r="AY18" s="94">
        <f>CapEx!AY18</f>
        <v>0</v>
      </c>
      <c r="AZ18" s="94">
        <f>CapEx!AZ18</f>
        <v>0</v>
      </c>
      <c r="BA18" s="94">
        <f>CapEx!BA18</f>
        <v>0</v>
      </c>
      <c r="BB18" s="94">
        <f>CapEx!BB18</f>
        <v>0</v>
      </c>
      <c r="BC18" s="94">
        <f>CapEx!BC18</f>
        <v>0</v>
      </c>
      <c r="BD18" s="94">
        <f>CapEx!BD18</f>
        <v>0</v>
      </c>
      <c r="BE18" s="94">
        <f>CapEx!BE18</f>
        <v>0</v>
      </c>
      <c r="BF18" s="93">
        <f>CapEx!BF18</f>
        <v>0</v>
      </c>
      <c r="BG18" s="94">
        <f>CapEx!BG18</f>
        <v>0</v>
      </c>
      <c r="BH18" s="94">
        <f>CapEx!BH18</f>
        <v>0</v>
      </c>
      <c r="BI18" s="94">
        <f>CapEx!BI18</f>
        <v>0</v>
      </c>
      <c r="BJ18" s="94">
        <f>CapEx!BJ18</f>
        <v>0</v>
      </c>
      <c r="BK18" s="94">
        <f>CapEx!BK18</f>
        <v>0</v>
      </c>
      <c r="BL18" s="94">
        <f>CapEx!BL18</f>
        <v>0</v>
      </c>
      <c r="BM18" s="94">
        <f>CapEx!BM18</f>
        <v>0</v>
      </c>
      <c r="BN18" s="94">
        <f>CapEx!BN18</f>
        <v>0</v>
      </c>
      <c r="BO18" s="94">
        <f>CapEx!BO18</f>
        <v>0</v>
      </c>
      <c r="BP18" s="94">
        <f>CapEx!BP18</f>
        <v>0</v>
      </c>
      <c r="BQ18" s="94">
        <f>CapEx!BQ18</f>
        <v>0</v>
      </c>
      <c r="BR18" s="93">
        <f>CapEx!BR18</f>
        <v>0</v>
      </c>
    </row>
    <row r="19" spans="1:70" s="14" customFormat="1" ht="13.2" x14ac:dyDescent="0.3">
      <c r="A19" s="37"/>
      <c r="C19" s="107" t="s">
        <v>12</v>
      </c>
      <c r="E19" s="99">
        <f t="shared" si="14"/>
        <v>54.000000000000014</v>
      </c>
      <c r="F19" s="99">
        <f t="shared" si="15"/>
        <v>50.000000000000007</v>
      </c>
      <c r="G19" s="99">
        <f t="shared" si="16"/>
        <v>0</v>
      </c>
      <c r="H19" s="99">
        <f t="shared" si="17"/>
        <v>0</v>
      </c>
      <c r="I19" s="99">
        <f t="shared" si="18"/>
        <v>0</v>
      </c>
      <c r="J19" s="113"/>
      <c r="K19" s="99">
        <f t="shared" ref="K19:AP19" si="23">SUM(K14:K18)</f>
        <v>0.4</v>
      </c>
      <c r="L19" s="99">
        <f t="shared" si="23"/>
        <v>0.4</v>
      </c>
      <c r="M19" s="99">
        <f t="shared" si="23"/>
        <v>0.4</v>
      </c>
      <c r="N19" s="99">
        <f t="shared" si="23"/>
        <v>0.4</v>
      </c>
      <c r="O19" s="99">
        <f t="shared" si="23"/>
        <v>0.4</v>
      </c>
      <c r="P19" s="99">
        <f t="shared" si="23"/>
        <v>7.5428571428571436</v>
      </c>
      <c r="Q19" s="99">
        <f t="shared" si="23"/>
        <v>7.5428571428571436</v>
      </c>
      <c r="R19" s="99">
        <f t="shared" si="23"/>
        <v>7.5428571428571436</v>
      </c>
      <c r="S19" s="99">
        <f t="shared" si="23"/>
        <v>7.5428571428571436</v>
      </c>
      <c r="T19" s="99">
        <f t="shared" si="23"/>
        <v>7.5428571428571436</v>
      </c>
      <c r="U19" s="99">
        <f t="shared" si="23"/>
        <v>7.1428571428571432</v>
      </c>
      <c r="V19" s="99">
        <f t="shared" si="23"/>
        <v>7.1428571428571432</v>
      </c>
      <c r="W19" s="99">
        <f t="shared" si="23"/>
        <v>7.1428571428571432</v>
      </c>
      <c r="X19" s="99">
        <f t="shared" si="23"/>
        <v>7.1428571428571432</v>
      </c>
      <c r="Y19" s="99">
        <f t="shared" si="23"/>
        <v>7.1428571428571432</v>
      </c>
      <c r="Z19" s="99">
        <f t="shared" si="23"/>
        <v>7.1428571428571432</v>
      </c>
      <c r="AA19" s="99">
        <f t="shared" si="23"/>
        <v>7.1428571428571432</v>
      </c>
      <c r="AB19" s="99">
        <f t="shared" si="23"/>
        <v>7.1428571428571432</v>
      </c>
      <c r="AC19" s="99">
        <f t="shared" si="23"/>
        <v>7.1428571428571432</v>
      </c>
      <c r="AD19" s="99">
        <f t="shared" si="23"/>
        <v>0</v>
      </c>
      <c r="AE19" s="99">
        <f t="shared" si="23"/>
        <v>0</v>
      </c>
      <c r="AF19" s="99">
        <f t="shared" si="23"/>
        <v>0</v>
      </c>
      <c r="AG19" s="99">
        <f t="shared" si="23"/>
        <v>0</v>
      </c>
      <c r="AH19" s="99">
        <f t="shared" si="23"/>
        <v>0</v>
      </c>
      <c r="AI19" s="99">
        <f t="shared" si="23"/>
        <v>0</v>
      </c>
      <c r="AJ19" s="99">
        <f t="shared" si="23"/>
        <v>0</v>
      </c>
      <c r="AK19" s="99">
        <f t="shared" si="23"/>
        <v>0</v>
      </c>
      <c r="AL19" s="99">
        <f t="shared" si="23"/>
        <v>0</v>
      </c>
      <c r="AM19" s="99">
        <f t="shared" si="23"/>
        <v>0</v>
      </c>
      <c r="AN19" s="99">
        <f t="shared" si="23"/>
        <v>0</v>
      </c>
      <c r="AO19" s="99">
        <f t="shared" si="23"/>
        <v>0</v>
      </c>
      <c r="AP19" s="99">
        <f t="shared" si="23"/>
        <v>0</v>
      </c>
      <c r="AQ19" s="99">
        <f t="shared" ref="AQ19:BR19" si="24">SUM(AQ14:AQ18)</f>
        <v>0</v>
      </c>
      <c r="AR19" s="99">
        <f t="shared" si="24"/>
        <v>0</v>
      </c>
      <c r="AS19" s="99">
        <f t="shared" si="24"/>
        <v>0</v>
      </c>
      <c r="AT19" s="99">
        <f t="shared" si="24"/>
        <v>0</v>
      </c>
      <c r="AU19" s="99">
        <f t="shared" si="24"/>
        <v>0</v>
      </c>
      <c r="AV19" s="99">
        <f t="shared" si="24"/>
        <v>0</v>
      </c>
      <c r="AW19" s="99">
        <f t="shared" si="24"/>
        <v>0</v>
      </c>
      <c r="AX19" s="99">
        <f t="shared" si="24"/>
        <v>0</v>
      </c>
      <c r="AY19" s="99">
        <f t="shared" si="24"/>
        <v>0</v>
      </c>
      <c r="AZ19" s="99">
        <f t="shared" si="24"/>
        <v>0</v>
      </c>
      <c r="BA19" s="99">
        <f t="shared" si="24"/>
        <v>0</v>
      </c>
      <c r="BB19" s="99">
        <f t="shared" si="24"/>
        <v>0</v>
      </c>
      <c r="BC19" s="99">
        <f t="shared" si="24"/>
        <v>0</v>
      </c>
      <c r="BD19" s="99">
        <f t="shared" si="24"/>
        <v>0</v>
      </c>
      <c r="BE19" s="99">
        <f t="shared" si="24"/>
        <v>0</v>
      </c>
      <c r="BF19" s="99">
        <f t="shared" si="24"/>
        <v>0</v>
      </c>
      <c r="BG19" s="99">
        <f t="shared" si="24"/>
        <v>0</v>
      </c>
      <c r="BH19" s="99">
        <f t="shared" si="24"/>
        <v>0</v>
      </c>
      <c r="BI19" s="99">
        <f t="shared" si="24"/>
        <v>0</v>
      </c>
      <c r="BJ19" s="99">
        <f t="shared" si="24"/>
        <v>0</v>
      </c>
      <c r="BK19" s="99">
        <f t="shared" si="24"/>
        <v>0</v>
      </c>
      <c r="BL19" s="99">
        <f t="shared" si="24"/>
        <v>0</v>
      </c>
      <c r="BM19" s="99">
        <f t="shared" si="24"/>
        <v>0</v>
      </c>
      <c r="BN19" s="99">
        <f t="shared" si="24"/>
        <v>0</v>
      </c>
      <c r="BO19" s="99">
        <f t="shared" si="24"/>
        <v>0</v>
      </c>
      <c r="BP19" s="99">
        <f t="shared" si="24"/>
        <v>0</v>
      </c>
      <c r="BQ19" s="99">
        <f t="shared" si="24"/>
        <v>0</v>
      </c>
      <c r="BR19" s="99">
        <f t="shared" si="24"/>
        <v>0</v>
      </c>
    </row>
    <row r="20" spans="1:70" s="49" customFormat="1" ht="13.2" x14ac:dyDescent="0.3">
      <c r="A20" s="37"/>
      <c r="C20" s="49" t="s">
        <v>24</v>
      </c>
      <c r="E20" s="96">
        <f t="shared" si="14"/>
        <v>559.81390816377632</v>
      </c>
      <c r="F20" s="96">
        <f t="shared" si="15"/>
        <v>622.83232642789631</v>
      </c>
      <c r="G20" s="96">
        <f t="shared" si="16"/>
        <v>735.53559873193296</v>
      </c>
      <c r="H20" s="96">
        <f t="shared" si="17"/>
        <v>802.13284907303216</v>
      </c>
      <c r="I20" s="96">
        <f t="shared" si="18"/>
        <v>872.84467619435384</v>
      </c>
      <c r="J20" s="118"/>
      <c r="K20" s="97">
        <f t="shared" ref="K20:AP20" si="25">K13-K19</f>
        <v>48.58333333333335</v>
      </c>
      <c r="L20" s="97">
        <f t="shared" si="25"/>
        <v>48.970829329259637</v>
      </c>
      <c r="M20" s="97">
        <f t="shared" si="25"/>
        <v>49.360300853009441</v>
      </c>
      <c r="N20" s="97">
        <f t="shared" si="25"/>
        <v>49.751757043560893</v>
      </c>
      <c r="O20" s="97">
        <f t="shared" si="25"/>
        <v>50.145207080738835</v>
      </c>
      <c r="P20" s="97">
        <f t="shared" si="25"/>
        <v>43.397803042537163</v>
      </c>
      <c r="Q20" s="97">
        <f t="shared" si="25"/>
        <v>43.795268476728594</v>
      </c>
      <c r="R20" s="97">
        <f t="shared" si="25"/>
        <v>44.194755543902431</v>
      </c>
      <c r="S20" s="97">
        <f t="shared" si="25"/>
        <v>44.596273589075821</v>
      </c>
      <c r="T20" s="97">
        <f t="shared" si="25"/>
        <v>44.999831999019278</v>
      </c>
      <c r="U20" s="97">
        <f t="shared" si="25"/>
        <v>45.805440202440813</v>
      </c>
      <c r="V20" s="96">
        <f t="shared" si="25"/>
        <v>46.213107670170082</v>
      </c>
      <c r="W20" s="97">
        <f t="shared" si="25"/>
        <v>46.622843915343928</v>
      </c>
      <c r="X20" s="97">
        <f t="shared" si="25"/>
        <v>47.034658493592737</v>
      </c>
      <c r="Y20" s="97">
        <f t="shared" si="25"/>
        <v>47.448561003227177</v>
      </c>
      <c r="Z20" s="97">
        <f t="shared" si="25"/>
        <v>47.86456108542594</v>
      </c>
      <c r="AA20" s="97">
        <f t="shared" si="25"/>
        <v>48.28266842442482</v>
      </c>
      <c r="AB20" s="97">
        <f t="shared" si="25"/>
        <v>48.702892747705697</v>
      </c>
      <c r="AC20" s="97">
        <f t="shared" si="25"/>
        <v>49.125243826186995</v>
      </c>
      <c r="AD20" s="97">
        <f t="shared" si="25"/>
        <v>56.692588617272136</v>
      </c>
      <c r="AE20" s="97">
        <f t="shared" si="25"/>
        <v>57.119222693612357</v>
      </c>
      <c r="AF20" s="97">
        <f t="shared" si="25"/>
        <v>57.5480131004431</v>
      </c>
      <c r="AG20" s="97">
        <f t="shared" si="25"/>
        <v>57.978969784348408</v>
      </c>
      <c r="AH20" s="96">
        <f t="shared" si="25"/>
        <v>58.412102736312988</v>
      </c>
      <c r="AI20" s="97">
        <f t="shared" si="25"/>
        <v>58.847421991917315</v>
      </c>
      <c r="AJ20" s="97">
        <f t="shared" si="25"/>
        <v>59.284937631533808</v>
      </c>
      <c r="AK20" s="97">
        <f t="shared" si="25"/>
        <v>59.724659780523737</v>
      </c>
      <c r="AL20" s="97">
        <f t="shared" si="25"/>
        <v>60.166598609435908</v>
      </c>
      <c r="AM20" s="97">
        <f t="shared" si="25"/>
        <v>60.610764334204077</v>
      </c>
      <c r="AN20" s="97">
        <f t="shared" si="25"/>
        <v>61.057167216347523</v>
      </c>
      <c r="AO20" s="97">
        <f t="shared" si="25"/>
        <v>61.505817563171618</v>
      </c>
      <c r="AP20" s="97">
        <f t="shared" si="25"/>
        <v>61.956725727968504</v>
      </c>
      <c r="AQ20" s="97">
        <f t="shared" ref="AQ20:BR20" si="26">AQ13-AQ19</f>
        <v>62.409902110219804</v>
      </c>
      <c r="AR20" s="97">
        <f t="shared" si="26"/>
        <v>62.865357155799956</v>
      </c>
      <c r="AS20" s="97">
        <f t="shared" si="26"/>
        <v>63.323101357179581</v>
      </c>
      <c r="AT20" s="96">
        <f t="shared" si="26"/>
        <v>63.783145253631105</v>
      </c>
      <c r="AU20" s="97">
        <f t="shared" si="26"/>
        <v>64.245499431433927</v>
      </c>
      <c r="AV20" s="97">
        <f t="shared" si="26"/>
        <v>64.71017452408168</v>
      </c>
      <c r="AW20" s="97">
        <f t="shared" si="26"/>
        <v>65.177181212489586</v>
      </c>
      <c r="AX20" s="97">
        <f t="shared" si="26"/>
        <v>65.646530225202525</v>
      </c>
      <c r="AY20" s="97">
        <f t="shared" si="26"/>
        <v>66.118232338605623</v>
      </c>
      <c r="AZ20" s="97">
        <f t="shared" si="26"/>
        <v>66.592298377133147</v>
      </c>
      <c r="BA20" s="97">
        <f t="shared" si="26"/>
        <v>67.068739213481081</v>
      </c>
      <c r="BB20" s="97">
        <f t="shared" si="26"/>
        <v>67.547565768818373</v>
      </c>
      <c r="BC20" s="97">
        <f t="shared" si="26"/>
        <v>68.028789013000264</v>
      </c>
      <c r="BD20" s="97">
        <f t="shared" si="26"/>
        <v>68.51241996478285</v>
      </c>
      <c r="BE20" s="97">
        <f t="shared" si="26"/>
        <v>68.998469692037219</v>
      </c>
      <c r="BF20" s="96">
        <f t="shared" si="26"/>
        <v>69.486949311965859</v>
      </c>
      <c r="BG20" s="97">
        <f t="shared" si="26"/>
        <v>69.977869991319693</v>
      </c>
      <c r="BH20" s="97">
        <f t="shared" si="26"/>
        <v>70.471242946615092</v>
      </c>
      <c r="BI20" s="97">
        <f t="shared" si="26"/>
        <v>70.967079444353629</v>
      </c>
      <c r="BJ20" s="97">
        <f t="shared" si="26"/>
        <v>71.465390801241057</v>
      </c>
      <c r="BK20" s="97">
        <f t="shared" si="26"/>
        <v>71.966188384408156</v>
      </c>
      <c r="BL20" s="97">
        <f t="shared" si="26"/>
        <v>72.469483611632143</v>
      </c>
      <c r="BM20" s="97">
        <f t="shared" si="26"/>
        <v>72.975287951560205</v>
      </c>
      <c r="BN20" s="97">
        <f t="shared" si="26"/>
        <v>73.483612923931759</v>
      </c>
      <c r="BO20" s="97">
        <f t="shared" si="26"/>
        <v>73.994470099803635</v>
      </c>
      <c r="BP20" s="97">
        <f t="shared" si="26"/>
        <v>74.507871101775891</v>
      </c>
      <c r="BQ20" s="97">
        <f t="shared" si="26"/>
        <v>75.023827604217615</v>
      </c>
      <c r="BR20" s="96">
        <f t="shared" si="26"/>
        <v>75.542351333495091</v>
      </c>
    </row>
    <row r="21" spans="1:70" s="14" customFormat="1" ht="13.2" x14ac:dyDescent="0.3">
      <c r="A21" s="13"/>
      <c r="B21" s="13"/>
      <c r="C21" s="61" t="s">
        <v>25</v>
      </c>
      <c r="E21" s="89">
        <f t="shared" si="14"/>
        <v>13.679166666666664</v>
      </c>
      <c r="F21" s="89">
        <f t="shared" si="15"/>
        <v>18.724999999999998</v>
      </c>
      <c r="G21" s="89">
        <f t="shared" si="16"/>
        <v>18.724999999999998</v>
      </c>
      <c r="H21" s="89">
        <f t="shared" si="17"/>
        <v>18.724999999999998</v>
      </c>
      <c r="I21" s="89">
        <f t="shared" si="18"/>
        <v>18.724999999999998</v>
      </c>
      <c r="J21" s="113"/>
      <c r="K21" s="90">
        <f>SUM(Cash!K24:K25)</f>
        <v>1.0208333333333333</v>
      </c>
      <c r="L21" s="91">
        <f>SUM(Cash!L24:L25)</f>
        <v>1.0208333333333333</v>
      </c>
      <c r="M21" s="91">
        <f>SUM(Cash!M24:M25)</f>
        <v>1.0208333333333333</v>
      </c>
      <c r="N21" s="91">
        <f>SUM(Cash!N24:N25)</f>
        <v>1.0208333333333333</v>
      </c>
      <c r="O21" s="91">
        <f>SUM(Cash!O24:O25)</f>
        <v>1.0208333333333333</v>
      </c>
      <c r="P21" s="91">
        <f>SUM(Cash!P24:P25)</f>
        <v>1.2249999999999999</v>
      </c>
      <c r="Q21" s="91">
        <f>SUM(Cash!Q24:Q25)</f>
        <v>1.2249999999999999</v>
      </c>
      <c r="R21" s="91">
        <f>SUM(Cash!R24:R25)</f>
        <v>1.2249999999999999</v>
      </c>
      <c r="S21" s="91">
        <f>SUM(Cash!S24:S25)</f>
        <v>1.2249999999999999</v>
      </c>
      <c r="T21" s="91">
        <f>SUM(Cash!T24:T25)</f>
        <v>1.2249999999999999</v>
      </c>
      <c r="U21" s="91">
        <f>SUM(Cash!U24:U25)</f>
        <v>1.2249999999999999</v>
      </c>
      <c r="V21" s="89">
        <f>SUM(Cash!V24:V25)</f>
        <v>1.2249999999999999</v>
      </c>
      <c r="W21" s="90">
        <f>SUM(Cash!W24:W25)</f>
        <v>1.5604166666666663</v>
      </c>
      <c r="X21" s="91">
        <f>SUM(Cash!X24:X25)</f>
        <v>1.5604166666666663</v>
      </c>
      <c r="Y21" s="91">
        <f>SUM(Cash!Y24:Y25)</f>
        <v>1.5604166666666663</v>
      </c>
      <c r="Z21" s="91">
        <f>SUM(Cash!Z24:Z25)</f>
        <v>1.5604166666666663</v>
      </c>
      <c r="AA21" s="91">
        <f>SUM(Cash!AA24:AA25)</f>
        <v>1.5604166666666663</v>
      </c>
      <c r="AB21" s="91">
        <f>SUM(Cash!AB24:AB25)</f>
        <v>1.5604166666666663</v>
      </c>
      <c r="AC21" s="91">
        <f>SUM(Cash!AC24:AC25)</f>
        <v>1.5604166666666663</v>
      </c>
      <c r="AD21" s="91">
        <f>SUM(Cash!AD24:AD25)</f>
        <v>1.5604166666666663</v>
      </c>
      <c r="AE21" s="91">
        <f>SUM(Cash!AE24:AE25)</f>
        <v>1.5604166666666663</v>
      </c>
      <c r="AF21" s="91">
        <f>SUM(Cash!AF24:AF25)</f>
        <v>1.5604166666666663</v>
      </c>
      <c r="AG21" s="91">
        <f>SUM(Cash!AG24:AG25)</f>
        <v>1.5604166666666663</v>
      </c>
      <c r="AH21" s="89">
        <f>SUM(Cash!AH24:AH25)</f>
        <v>1.5604166666666663</v>
      </c>
      <c r="AI21" s="90">
        <f>SUM(Cash!AI24:AI25)</f>
        <v>1.5604166666666663</v>
      </c>
      <c r="AJ21" s="91">
        <f>SUM(Cash!AJ24:AJ25)</f>
        <v>1.5604166666666663</v>
      </c>
      <c r="AK21" s="91">
        <f>SUM(Cash!AK24:AK25)</f>
        <v>1.5604166666666663</v>
      </c>
      <c r="AL21" s="91">
        <f>SUM(Cash!AL24:AL25)</f>
        <v>1.5604166666666663</v>
      </c>
      <c r="AM21" s="91">
        <f>SUM(Cash!AM24:AM25)</f>
        <v>1.5604166666666663</v>
      </c>
      <c r="AN21" s="91">
        <f>SUM(Cash!AN24:AN25)</f>
        <v>1.5604166666666663</v>
      </c>
      <c r="AO21" s="91">
        <f>SUM(Cash!AO24:AO25)</f>
        <v>1.5604166666666663</v>
      </c>
      <c r="AP21" s="91">
        <f>SUM(Cash!AP24:AP25)</f>
        <v>1.5604166666666663</v>
      </c>
      <c r="AQ21" s="91">
        <f>SUM(Cash!AQ24:AQ25)</f>
        <v>1.5604166666666663</v>
      </c>
      <c r="AR21" s="91">
        <f>SUM(Cash!AR24:AR25)</f>
        <v>1.5604166666666663</v>
      </c>
      <c r="AS21" s="91">
        <f>SUM(Cash!AS24:AS25)</f>
        <v>1.5604166666666663</v>
      </c>
      <c r="AT21" s="89">
        <f>SUM(Cash!AT24:AT25)</f>
        <v>1.5604166666666663</v>
      </c>
      <c r="AU21" s="90">
        <f>SUM(Cash!AU24:AU25)</f>
        <v>1.5604166666666663</v>
      </c>
      <c r="AV21" s="91">
        <f>SUM(Cash!AV24:AV25)</f>
        <v>1.5604166666666663</v>
      </c>
      <c r="AW21" s="91">
        <f>SUM(Cash!AW24:AW25)</f>
        <v>1.5604166666666663</v>
      </c>
      <c r="AX21" s="91">
        <f>SUM(Cash!AX24:AX25)</f>
        <v>1.5604166666666663</v>
      </c>
      <c r="AY21" s="91">
        <f>SUM(Cash!AY24:AY25)</f>
        <v>1.5604166666666663</v>
      </c>
      <c r="AZ21" s="91">
        <f>SUM(Cash!AZ24:AZ25)</f>
        <v>1.5604166666666663</v>
      </c>
      <c r="BA21" s="91">
        <f>SUM(Cash!BA24:BA25)</f>
        <v>1.5604166666666663</v>
      </c>
      <c r="BB21" s="91">
        <f>SUM(Cash!BB24:BB25)</f>
        <v>1.5604166666666663</v>
      </c>
      <c r="BC21" s="91">
        <f>SUM(Cash!BC24:BC25)</f>
        <v>1.5604166666666663</v>
      </c>
      <c r="BD21" s="91">
        <f>SUM(Cash!BD24:BD25)</f>
        <v>1.5604166666666663</v>
      </c>
      <c r="BE21" s="91">
        <f>SUM(Cash!BE24:BE25)</f>
        <v>1.5604166666666663</v>
      </c>
      <c r="BF21" s="89">
        <f>SUM(Cash!BF24:BF25)</f>
        <v>1.5604166666666663</v>
      </c>
      <c r="BG21" s="90">
        <f>SUM(Cash!BG24:BG25)</f>
        <v>1.5604166666666663</v>
      </c>
      <c r="BH21" s="91">
        <f>SUM(Cash!BH24:BH25)</f>
        <v>1.5604166666666663</v>
      </c>
      <c r="BI21" s="91">
        <f>SUM(Cash!BI24:BI25)</f>
        <v>1.5604166666666663</v>
      </c>
      <c r="BJ21" s="91">
        <f>SUM(Cash!BJ24:BJ25)</f>
        <v>1.5604166666666663</v>
      </c>
      <c r="BK21" s="91">
        <f>SUM(Cash!BK24:BK25)</f>
        <v>1.5604166666666663</v>
      </c>
      <c r="BL21" s="91">
        <f>SUM(Cash!BL24:BL25)</f>
        <v>1.5604166666666663</v>
      </c>
      <c r="BM21" s="91">
        <f>SUM(Cash!BM24:BM25)</f>
        <v>1.5604166666666663</v>
      </c>
      <c r="BN21" s="91">
        <f>SUM(Cash!BN24:BN25)</f>
        <v>1.5604166666666663</v>
      </c>
      <c r="BO21" s="91">
        <f>SUM(Cash!BO24:BO25)</f>
        <v>1.5604166666666663</v>
      </c>
      <c r="BP21" s="91">
        <f>SUM(Cash!BP24:BP25)</f>
        <v>1.5604166666666663</v>
      </c>
      <c r="BQ21" s="91">
        <f>SUM(Cash!BQ24:BQ25)</f>
        <v>1.5604166666666663</v>
      </c>
      <c r="BR21" s="89">
        <f>SUM(Cash!BR24:BR25)</f>
        <v>1.5604166666666663</v>
      </c>
    </row>
    <row r="22" spans="1:70" s="14" customFormat="1" ht="13.2" x14ac:dyDescent="0.3">
      <c r="A22" s="37"/>
      <c r="B22" s="13"/>
      <c r="C22" s="111" t="s">
        <v>90</v>
      </c>
      <c r="E22" s="112">
        <f t="shared" si="14"/>
        <v>218.45389659884384</v>
      </c>
      <c r="F22" s="112">
        <f t="shared" si="15"/>
        <v>241.64293057115856</v>
      </c>
      <c r="G22" s="112">
        <f t="shared" si="16"/>
        <v>286.72423949277317</v>
      </c>
      <c r="H22" s="112">
        <f t="shared" si="17"/>
        <v>313.36313962921281</v>
      </c>
      <c r="I22" s="112">
        <f t="shared" si="18"/>
        <v>341.64787047774161</v>
      </c>
      <c r="J22" s="113"/>
      <c r="K22" s="99">
        <f t="shared" ref="K22:AP22" si="27">(SUM(K20:K20)-K21)*Taxes</f>
        <v>19.025000000000006</v>
      </c>
      <c r="L22" s="99">
        <f t="shared" si="27"/>
        <v>19.179998398370522</v>
      </c>
      <c r="M22" s="99">
        <f t="shared" si="27"/>
        <v>19.335787007870444</v>
      </c>
      <c r="N22" s="99">
        <f t="shared" si="27"/>
        <v>19.492369484091025</v>
      </c>
      <c r="O22" s="99">
        <f t="shared" si="27"/>
        <v>19.649749498962201</v>
      </c>
      <c r="P22" s="99">
        <f t="shared" si="27"/>
        <v>16.869121217014865</v>
      </c>
      <c r="Q22" s="99">
        <f t="shared" si="27"/>
        <v>17.028107390691439</v>
      </c>
      <c r="R22" s="99">
        <f t="shared" si="27"/>
        <v>17.187902217560971</v>
      </c>
      <c r="S22" s="99">
        <f t="shared" si="27"/>
        <v>17.34850943563033</v>
      </c>
      <c r="T22" s="99">
        <f t="shared" si="27"/>
        <v>17.509932799607711</v>
      </c>
      <c r="U22" s="99">
        <f t="shared" si="27"/>
        <v>17.832176080976325</v>
      </c>
      <c r="V22" s="112">
        <f t="shared" si="27"/>
        <v>17.995243068068032</v>
      </c>
      <c r="W22" s="99">
        <f t="shared" si="27"/>
        <v>18.024970899470905</v>
      </c>
      <c r="X22" s="99">
        <f t="shared" si="27"/>
        <v>18.189696730770429</v>
      </c>
      <c r="Y22" s="99">
        <f t="shared" si="27"/>
        <v>18.355257734624203</v>
      </c>
      <c r="Z22" s="99">
        <f t="shared" si="27"/>
        <v>18.521657767503708</v>
      </c>
      <c r="AA22" s="99">
        <f t="shared" si="27"/>
        <v>18.688900703103261</v>
      </c>
      <c r="AB22" s="99">
        <f t="shared" si="27"/>
        <v>18.856990432415611</v>
      </c>
      <c r="AC22" s="99">
        <f t="shared" si="27"/>
        <v>19.025930863808131</v>
      </c>
      <c r="AD22" s="99">
        <f t="shared" si="27"/>
        <v>22.052868780242189</v>
      </c>
      <c r="AE22" s="99">
        <f t="shared" si="27"/>
        <v>22.223522410778276</v>
      </c>
      <c r="AF22" s="99">
        <f t="shared" si="27"/>
        <v>22.395038573510575</v>
      </c>
      <c r="AG22" s="99">
        <f t="shared" si="27"/>
        <v>22.567421247072698</v>
      </c>
      <c r="AH22" s="112">
        <f t="shared" si="27"/>
        <v>22.740674427858529</v>
      </c>
      <c r="AI22" s="99">
        <f t="shared" si="27"/>
        <v>22.914802130100259</v>
      </c>
      <c r="AJ22" s="99">
        <f t="shared" si="27"/>
        <v>23.089808385946856</v>
      </c>
      <c r="AK22" s="99">
        <f t="shared" si="27"/>
        <v>23.265697245542828</v>
      </c>
      <c r="AL22" s="99">
        <f t="shared" si="27"/>
        <v>23.442472777107696</v>
      </c>
      <c r="AM22" s="99">
        <f t="shared" si="27"/>
        <v>23.620139067014964</v>
      </c>
      <c r="AN22" s="99">
        <f t="shared" si="27"/>
        <v>23.798700219872345</v>
      </c>
      <c r="AO22" s="99">
        <f t="shared" si="27"/>
        <v>23.978160358601983</v>
      </c>
      <c r="AP22" s="99">
        <f t="shared" si="27"/>
        <v>24.158523624520736</v>
      </c>
      <c r="AQ22" s="99">
        <f t="shared" ref="AQ22:BR22" si="28">(SUM(AQ20:AQ20)-AQ21)*Taxes</f>
        <v>24.339794177421254</v>
      </c>
      <c r="AR22" s="99">
        <f t="shared" si="28"/>
        <v>24.521976195653316</v>
      </c>
      <c r="AS22" s="99">
        <f t="shared" si="28"/>
        <v>24.705073876205166</v>
      </c>
      <c r="AT22" s="112">
        <f t="shared" si="28"/>
        <v>24.889091434785776</v>
      </c>
      <c r="AU22" s="99">
        <f t="shared" si="28"/>
        <v>25.074033105906906</v>
      </c>
      <c r="AV22" s="99">
        <f t="shared" si="28"/>
        <v>25.259903142966007</v>
      </c>
      <c r="AW22" s="99">
        <f t="shared" si="28"/>
        <v>25.446705818329168</v>
      </c>
      <c r="AX22" s="99">
        <f t="shared" si="28"/>
        <v>25.634445423414345</v>
      </c>
      <c r="AY22" s="99">
        <f t="shared" si="28"/>
        <v>25.823126268775582</v>
      </c>
      <c r="AZ22" s="99">
        <f t="shared" si="28"/>
        <v>26.012752684186594</v>
      </c>
      <c r="BA22" s="99">
        <f t="shared" si="28"/>
        <v>26.203329018725768</v>
      </c>
      <c r="BB22" s="99">
        <f t="shared" si="28"/>
        <v>26.394859640860684</v>
      </c>
      <c r="BC22" s="99">
        <f t="shared" si="28"/>
        <v>26.587348938533438</v>
      </c>
      <c r="BD22" s="99">
        <f t="shared" si="28"/>
        <v>26.780801319246475</v>
      </c>
      <c r="BE22" s="99">
        <f t="shared" si="28"/>
        <v>26.97522121014822</v>
      </c>
      <c r="BF22" s="112">
        <f t="shared" si="28"/>
        <v>27.170613058119677</v>
      </c>
      <c r="BG22" s="99">
        <f t="shared" si="28"/>
        <v>27.366981329861211</v>
      </c>
      <c r="BH22" s="99">
        <f t="shared" si="28"/>
        <v>27.564330511979371</v>
      </c>
      <c r="BI22" s="99">
        <f t="shared" si="28"/>
        <v>27.762665111074785</v>
      </c>
      <c r="BJ22" s="99">
        <f t="shared" si="28"/>
        <v>27.961989653829757</v>
      </c>
      <c r="BK22" s="99">
        <f t="shared" si="28"/>
        <v>28.162308687096598</v>
      </c>
      <c r="BL22" s="99">
        <f t="shared" si="28"/>
        <v>28.363626777986191</v>
      </c>
      <c r="BM22" s="99">
        <f t="shared" si="28"/>
        <v>28.565948513957416</v>
      </c>
      <c r="BN22" s="99">
        <f t="shared" si="28"/>
        <v>28.769278502906037</v>
      </c>
      <c r="BO22" s="99">
        <f t="shared" si="28"/>
        <v>28.973621373254787</v>
      </c>
      <c r="BP22" s="99">
        <f t="shared" si="28"/>
        <v>29.178981774043692</v>
      </c>
      <c r="BQ22" s="99">
        <f t="shared" si="28"/>
        <v>29.38536437502038</v>
      </c>
      <c r="BR22" s="112">
        <f t="shared" si="28"/>
        <v>29.59277386673137</v>
      </c>
    </row>
    <row r="23" spans="1:70" s="49" customFormat="1" ht="13.2" x14ac:dyDescent="0.3">
      <c r="A23" s="37"/>
      <c r="C23" s="49" t="s">
        <v>27</v>
      </c>
      <c r="D23" s="119"/>
      <c r="E23" s="96">
        <f t="shared" si="14"/>
        <v>327.68084489826578</v>
      </c>
      <c r="F23" s="96">
        <f t="shared" si="15"/>
        <v>362.46439585673778</v>
      </c>
      <c r="G23" s="96">
        <f t="shared" si="16"/>
        <v>430.08635923915972</v>
      </c>
      <c r="H23" s="96">
        <f t="shared" si="17"/>
        <v>470.04470944381927</v>
      </c>
      <c r="I23" s="96">
        <f t="shared" si="18"/>
        <v>512.47180571661238</v>
      </c>
      <c r="J23" s="120"/>
      <c r="K23" s="97">
        <f t="shared" ref="K23:AP23" si="29">SUM(K20:K20)-SUM(K21:K22)</f>
        <v>28.537500000000012</v>
      </c>
      <c r="L23" s="97">
        <f t="shared" si="29"/>
        <v>28.769997597555783</v>
      </c>
      <c r="M23" s="97">
        <f t="shared" si="29"/>
        <v>29.003680511805666</v>
      </c>
      <c r="N23" s="97">
        <f t="shared" si="29"/>
        <v>29.238554226136536</v>
      </c>
      <c r="O23" s="97">
        <f t="shared" si="29"/>
        <v>29.474624248443302</v>
      </c>
      <c r="P23" s="97">
        <f t="shared" si="29"/>
        <v>25.303681825522297</v>
      </c>
      <c r="Q23" s="97">
        <f t="shared" si="29"/>
        <v>25.542161086037154</v>
      </c>
      <c r="R23" s="97">
        <f t="shared" si="29"/>
        <v>25.781853326341459</v>
      </c>
      <c r="S23" s="97">
        <f t="shared" si="29"/>
        <v>26.02276415344549</v>
      </c>
      <c r="T23" s="97">
        <f t="shared" si="29"/>
        <v>26.264899199411566</v>
      </c>
      <c r="U23" s="97">
        <f t="shared" si="29"/>
        <v>26.748264121464487</v>
      </c>
      <c r="V23" s="96">
        <f t="shared" si="29"/>
        <v>26.992864602102049</v>
      </c>
      <c r="W23" s="97">
        <f t="shared" si="29"/>
        <v>27.037456349206359</v>
      </c>
      <c r="X23" s="97">
        <f t="shared" si="29"/>
        <v>27.284545096155643</v>
      </c>
      <c r="Y23" s="97">
        <f t="shared" si="29"/>
        <v>27.532886601936308</v>
      </c>
      <c r="Z23" s="97">
        <f t="shared" si="29"/>
        <v>27.782486651255567</v>
      </c>
      <c r="AA23" s="97">
        <f t="shared" si="29"/>
        <v>28.033351054654894</v>
      </c>
      <c r="AB23" s="97">
        <f t="shared" si="29"/>
        <v>28.285485648623421</v>
      </c>
      <c r="AC23" s="97">
        <f t="shared" si="29"/>
        <v>28.538896295712199</v>
      </c>
      <c r="AD23" s="97">
        <f t="shared" si="29"/>
        <v>33.079303170363282</v>
      </c>
      <c r="AE23" s="97">
        <f t="shared" si="29"/>
        <v>33.335283616167416</v>
      </c>
      <c r="AF23" s="97">
        <f t="shared" si="29"/>
        <v>33.592557860265856</v>
      </c>
      <c r="AG23" s="97">
        <f t="shared" si="29"/>
        <v>33.851131870609045</v>
      </c>
      <c r="AH23" s="96">
        <f t="shared" si="29"/>
        <v>34.111011641787798</v>
      </c>
      <c r="AI23" s="97">
        <f t="shared" si="29"/>
        <v>34.372203195150391</v>
      </c>
      <c r="AJ23" s="97">
        <f t="shared" si="29"/>
        <v>34.634712578920286</v>
      </c>
      <c r="AK23" s="97">
        <f t="shared" si="29"/>
        <v>34.898545868314244</v>
      </c>
      <c r="AL23" s="97">
        <f t="shared" si="29"/>
        <v>35.163709165661544</v>
      </c>
      <c r="AM23" s="97">
        <f t="shared" si="29"/>
        <v>35.430208600522448</v>
      </c>
      <c r="AN23" s="97">
        <f t="shared" si="29"/>
        <v>35.69805032980851</v>
      </c>
      <c r="AO23" s="97">
        <f t="shared" si="29"/>
        <v>35.967240537902967</v>
      </c>
      <c r="AP23" s="97">
        <f t="shared" si="29"/>
        <v>36.237785436781103</v>
      </c>
      <c r="AQ23" s="97">
        <f t="shared" ref="AQ23:BR23" si="30">SUM(AQ20:AQ20)-SUM(AQ21:AQ22)</f>
        <v>36.509691266131881</v>
      </c>
      <c r="AR23" s="97">
        <f t="shared" si="30"/>
        <v>36.782964293479978</v>
      </c>
      <c r="AS23" s="97">
        <f t="shared" si="30"/>
        <v>37.057610814307751</v>
      </c>
      <c r="AT23" s="96">
        <f t="shared" si="30"/>
        <v>37.333637152178667</v>
      </c>
      <c r="AU23" s="97">
        <f t="shared" si="30"/>
        <v>37.611049658860352</v>
      </c>
      <c r="AV23" s="97">
        <f t="shared" si="30"/>
        <v>37.889854714449008</v>
      </c>
      <c r="AW23" s="97">
        <f t="shared" si="30"/>
        <v>38.170058727493753</v>
      </c>
      <c r="AX23" s="97">
        <f t="shared" si="30"/>
        <v>38.451668135121515</v>
      </c>
      <c r="AY23" s="97">
        <f t="shared" si="30"/>
        <v>38.734689403163372</v>
      </c>
      <c r="AZ23" s="97">
        <f t="shared" si="30"/>
        <v>39.019129026279884</v>
      </c>
      <c r="BA23" s="97">
        <f t="shared" si="30"/>
        <v>39.304993528088644</v>
      </c>
      <c r="BB23" s="97">
        <f t="shared" si="30"/>
        <v>39.592289461291024</v>
      </c>
      <c r="BC23" s="97">
        <f t="shared" si="30"/>
        <v>39.881023407800157</v>
      </c>
      <c r="BD23" s="97">
        <f t="shared" si="30"/>
        <v>40.171201978869711</v>
      </c>
      <c r="BE23" s="97">
        <f t="shared" si="30"/>
        <v>40.46283181522233</v>
      </c>
      <c r="BF23" s="96">
        <f t="shared" si="30"/>
        <v>40.75591958717952</v>
      </c>
      <c r="BG23" s="97">
        <f t="shared" si="30"/>
        <v>41.05047199479182</v>
      </c>
      <c r="BH23" s="97">
        <f t="shared" si="30"/>
        <v>41.34649576796906</v>
      </c>
      <c r="BI23" s="97">
        <f t="shared" si="30"/>
        <v>41.643997666612179</v>
      </c>
      <c r="BJ23" s="97">
        <f t="shared" si="30"/>
        <v>41.942984480744634</v>
      </c>
      <c r="BK23" s="97">
        <f t="shared" si="30"/>
        <v>42.243463030644889</v>
      </c>
      <c r="BL23" s="97">
        <f t="shared" si="30"/>
        <v>42.54544016697929</v>
      </c>
      <c r="BM23" s="97">
        <f t="shared" si="30"/>
        <v>42.848922770936127</v>
      </c>
      <c r="BN23" s="97">
        <f t="shared" si="30"/>
        <v>43.153917754359057</v>
      </c>
      <c r="BO23" s="97">
        <f t="shared" si="30"/>
        <v>43.46043205988218</v>
      </c>
      <c r="BP23" s="97">
        <f t="shared" si="30"/>
        <v>43.76847266106553</v>
      </c>
      <c r="BQ23" s="97">
        <f t="shared" si="30"/>
        <v>44.078046562530574</v>
      </c>
      <c r="BR23" s="96">
        <f t="shared" si="30"/>
        <v>44.389160800097059</v>
      </c>
    </row>
    <row r="24" spans="1:70" s="127" customFormat="1" ht="13.2" x14ac:dyDescent="0.3">
      <c r="A24" s="43"/>
      <c r="B24" s="121"/>
      <c r="C24" s="122" t="s">
        <v>91</v>
      </c>
      <c r="D24" s="123"/>
      <c r="E24" s="124">
        <f>E23/E6</f>
        <v>5.6609327422782657E-2</v>
      </c>
      <c r="F24" s="124">
        <f>F23/F6</f>
        <v>5.945685259453596E-2</v>
      </c>
      <c r="G24" s="124">
        <f>G23/G6</f>
        <v>6.6987204359572339E-2</v>
      </c>
      <c r="H24" s="124">
        <f>H23/H6</f>
        <v>6.9514431587154105E-2</v>
      </c>
      <c r="I24" s="124">
        <f>I23/I6</f>
        <v>7.1962361470123984E-2</v>
      </c>
      <c r="J24" s="125"/>
      <c r="K24" s="126">
        <f t="shared" ref="K24:AP24" si="31">K23/K6</f>
        <v>6.0589171974522321E-2</v>
      </c>
      <c r="L24" s="126">
        <f t="shared" si="31"/>
        <v>6.0819645860922533E-2</v>
      </c>
      <c r="M24" s="126">
        <f t="shared" si="31"/>
        <v>6.104950436626224E-2</v>
      </c>
      <c r="N24" s="126">
        <f t="shared" si="31"/>
        <v>6.1278749258872854E-2</v>
      </c>
      <c r="O24" s="126">
        <f t="shared" si="31"/>
        <v>6.1507382301700657E-2</v>
      </c>
      <c r="P24" s="126">
        <f t="shared" si="31"/>
        <v>5.2576013527581567E-2</v>
      </c>
      <c r="Q24" s="126">
        <f t="shared" si="31"/>
        <v>5.2842887831642607E-2</v>
      </c>
      <c r="R24" s="126">
        <f t="shared" si="31"/>
        <v>5.3108985545805676E-2</v>
      </c>
      <c r="S24" s="126">
        <f t="shared" si="31"/>
        <v>5.3374309144012227E-2</v>
      </c>
      <c r="T24" s="126">
        <f t="shared" si="31"/>
        <v>5.3638861091748327E-2</v>
      </c>
      <c r="U24" s="126">
        <f t="shared" si="31"/>
        <v>5.4390666542083764E-2</v>
      </c>
      <c r="V24" s="124">
        <f t="shared" si="31"/>
        <v>5.4651580094808763E-2</v>
      </c>
      <c r="W24" s="126">
        <f t="shared" si="31"/>
        <v>5.4506029435999359E-2</v>
      </c>
      <c r="X24" s="126">
        <f t="shared" si="31"/>
        <v>5.4767182728049507E-2</v>
      </c>
      <c r="Y24" s="126">
        <f t="shared" si="31"/>
        <v>5.5027578021147702E-2</v>
      </c>
      <c r="Z24" s="126">
        <f t="shared" si="31"/>
        <v>5.5287217724437607E-2</v>
      </c>
      <c r="AA24" s="126">
        <f t="shared" si="31"/>
        <v>5.5546104238845519E-2</v>
      </c>
      <c r="AB24" s="126">
        <f t="shared" si="31"/>
        <v>5.5804239957109529E-2</v>
      </c>
      <c r="AC24" s="126">
        <f t="shared" si="31"/>
        <v>5.606162726380904E-2</v>
      </c>
      <c r="AD24" s="126">
        <f t="shared" si="31"/>
        <v>6.4700829284447522E-2</v>
      </c>
      <c r="AE24" s="126">
        <f t="shared" si="31"/>
        <v>6.4920613871380692E-2</v>
      </c>
      <c r="AF24" s="126">
        <f t="shared" si="31"/>
        <v>6.5139812730785909E-2</v>
      </c>
      <c r="AG24" s="126">
        <f t="shared" si="31"/>
        <v>6.5358427544648448E-2</v>
      </c>
      <c r="AH24" s="124">
        <f t="shared" si="31"/>
        <v>6.5576459989827959E-2</v>
      </c>
      <c r="AI24" s="126">
        <f t="shared" si="31"/>
        <v>6.5793911738074889E-2</v>
      </c>
      <c r="AJ24" s="126">
        <f t="shared" si="31"/>
        <v>6.6010784456046565E-2</v>
      </c>
      <c r="AK24" s="126">
        <f t="shared" si="31"/>
        <v>6.6227079805323483E-2</v>
      </c>
      <c r="AL24" s="126">
        <f t="shared" si="31"/>
        <v>6.6442799442426051E-2</v>
      </c>
      <c r="AM24" s="126">
        <f t="shared" si="31"/>
        <v>6.6657945018829587E-2</v>
      </c>
      <c r="AN24" s="126">
        <f t="shared" si="31"/>
        <v>6.687251818098118E-2</v>
      </c>
      <c r="AO24" s="126">
        <f t="shared" si="31"/>
        <v>6.7086520570315902E-2</v>
      </c>
      <c r="AP24" s="126">
        <f t="shared" si="31"/>
        <v>6.7299953823271988E-2</v>
      </c>
      <c r="AQ24" s="126">
        <f t="shared" ref="AQ24:BR24" si="32">AQ23/AQ6</f>
        <v>6.7512819571307212E-2</v>
      </c>
      <c r="AR24" s="126">
        <f t="shared" si="32"/>
        <v>6.7725119440915027E-2</v>
      </c>
      <c r="AS24" s="126">
        <f t="shared" si="32"/>
        <v>6.7936855053639611E-2</v>
      </c>
      <c r="AT24" s="124">
        <f t="shared" si="32"/>
        <v>6.8148028026092433E-2</v>
      </c>
      <c r="AU24" s="126">
        <f t="shared" si="32"/>
        <v>6.8358639969967258E-2</v>
      </c>
      <c r="AV24" s="126">
        <f t="shared" si="32"/>
        <v>6.8568692492056355E-2</v>
      </c>
      <c r="AW24" s="126">
        <f t="shared" si="32"/>
        <v>6.8778187194265886E-2</v>
      </c>
      <c r="AX24" s="126">
        <f t="shared" si="32"/>
        <v>6.8987125673630967E-2</v>
      </c>
      <c r="AY24" s="126">
        <f t="shared" si="32"/>
        <v>6.9195509522332319E-2</v>
      </c>
      <c r="AZ24" s="126">
        <f t="shared" si="32"/>
        <v>6.9403340327710367E-2</v>
      </c>
      <c r="BA24" s="126">
        <f t="shared" si="32"/>
        <v>6.9610619672281798E-2</v>
      </c>
      <c r="BB24" s="126">
        <f t="shared" si="32"/>
        <v>6.981734913375412E-2</v>
      </c>
      <c r="BC24" s="126">
        <f t="shared" si="32"/>
        <v>7.0023530285041116E-2</v>
      </c>
      <c r="BD24" s="126">
        <f t="shared" si="32"/>
        <v>7.022916469427859E-2</v>
      </c>
      <c r="BE24" s="126">
        <f t="shared" si="32"/>
        <v>7.0434253924838777E-2</v>
      </c>
      <c r="BF24" s="124">
        <f t="shared" si="32"/>
        <v>7.0638799535346006E-2</v>
      </c>
      <c r="BG24" s="126">
        <f t="shared" si="32"/>
        <v>7.0842803079691874E-2</v>
      </c>
      <c r="BH24" s="126">
        <f t="shared" si="32"/>
        <v>7.1046266107049602E-2</v>
      </c>
      <c r="BI24" s="126">
        <f t="shared" si="32"/>
        <v>7.1249190161890005E-2</v>
      </c>
      <c r="BJ24" s="126">
        <f t="shared" si="32"/>
        <v>7.1451576783995732E-2</v>
      </c>
      <c r="BK24" s="126">
        <f t="shared" si="32"/>
        <v>7.1653427508476322E-2</v>
      </c>
      <c r="BL24" s="126">
        <f t="shared" si="32"/>
        <v>7.1854743865782889E-2</v>
      </c>
      <c r="BM24" s="126">
        <f t="shared" si="32"/>
        <v>7.2055527381723689E-2</v>
      </c>
      <c r="BN24" s="126">
        <f t="shared" si="32"/>
        <v>7.2255779577477836E-2</v>
      </c>
      <c r="BO24" s="126">
        <f t="shared" si="32"/>
        <v>7.2455501969610467E-2</v>
      </c>
      <c r="BP24" s="126">
        <f t="shared" si="32"/>
        <v>7.2654696070087676E-2</v>
      </c>
      <c r="BQ24" s="126">
        <f t="shared" si="32"/>
        <v>7.2853363386290615E-2</v>
      </c>
      <c r="BR24" s="124">
        <f t="shared" si="32"/>
        <v>7.305150542103038E-2</v>
      </c>
    </row>
    <row r="25" spans="1:70" s="14" customFormat="1" ht="13.2" x14ac:dyDescent="0.3">
      <c r="A25" s="13"/>
      <c r="C25" s="52" t="s">
        <v>72</v>
      </c>
      <c r="E25" s="93">
        <f ca="1">SUM(K25:V25)</f>
        <v>17.032803840946357</v>
      </c>
      <c r="F25" s="93">
        <f ca="1">SUM(W25:AH25)</f>
        <v>16.309040062373608</v>
      </c>
      <c r="G25" s="93">
        <f ca="1">SUM(AI25:AT25)</f>
        <v>0</v>
      </c>
      <c r="H25" s="93">
        <f ca="1">SUM(AU25:BF25)</f>
        <v>0</v>
      </c>
      <c r="I25" s="93">
        <f ca="1">SUM(BG25:BR25)</f>
        <v>0</v>
      </c>
      <c r="J25" s="113"/>
      <c r="K25" s="94">
        <f ca="1">IFERROR(IF(SUM(K23:OFFSET(K23,0,MAX(-K3+1,-11)))&lt;0,0,SUM(K23:OFFSET(K23,0,MAX(-K3+1,-11)))*VLOOKUP(K3,Drivers!$C$6:$G$35,5,FALSE)),0)</f>
        <v>0</v>
      </c>
      <c r="L25" s="94">
        <f ca="1">IFERROR(IF(SUM(L23:OFFSET(L23,0,MAX(-L3+1,-11)))&lt;0,0,SUM(L23:OFFSET(L23,0,MAX(-L3+1,-11)))*VLOOKUP(L3,Drivers!$C$6:$G$35,5,FALSE)),0)</f>
        <v>0</v>
      </c>
      <c r="M25" s="94">
        <f ca="1">IFERROR(IF(SUM(M23:OFFSET(M23,0,MAX(-M3+1,-11)))&lt;0,0,SUM(M23:OFFSET(M23,0,MAX(-M3+1,-11)))*VLOOKUP(M3,Drivers!$C$6:$G$35,5,FALSE)),0)</f>
        <v>0</v>
      </c>
      <c r="N25" s="94">
        <f ca="1">IFERROR(IF(SUM(N23:OFFSET(N23,0,MAX(-N3+1,-11)))&lt;0,0,SUM(N23:OFFSET(N23,0,MAX(-N3+1,-11)))*VLOOKUP(N3,Drivers!$C$6:$G$35,5,FALSE)),0)</f>
        <v>0</v>
      </c>
      <c r="O25" s="94">
        <f ca="1">IFERROR(IF(SUM(O23:OFFSET(O23,0,MAX(-O3+1,-11)))&lt;0,0,SUM(O23:OFFSET(O23,0,MAX(-O3+1,-11)))*VLOOKUP(O3,Drivers!$C$6:$G$35,5,FALSE)),0)</f>
        <v>0</v>
      </c>
      <c r="P25" s="94">
        <f ca="1">IFERROR(IF(SUM(P23:OFFSET(P23,0,MAX(-P3+1,-11)))&lt;0,0,SUM(P23:OFFSET(P23,0,MAX(-P3+1,-11)))*VLOOKUP(P3,Drivers!$C$6:$G$35,5,FALSE)),0)</f>
        <v>17.032803840946357</v>
      </c>
      <c r="Q25" s="94">
        <f ca="1">IFERROR(IF(SUM(Q23:OFFSET(Q23,0,MAX(-Q3+1,-11)))&lt;0,0,SUM(Q23:OFFSET(Q23,0,MAX(-Q3+1,-11)))*VLOOKUP(Q3,Drivers!$C$6:$G$35,5,FALSE)),0)</f>
        <v>0</v>
      </c>
      <c r="R25" s="94">
        <f ca="1">IFERROR(IF(SUM(R23:OFFSET(R23,0,MAX(-R3+1,-11)))&lt;0,0,SUM(R23:OFFSET(R23,0,MAX(-R3+1,-11)))*VLOOKUP(R3,Drivers!$C$6:$G$35,5,FALSE)),0)</f>
        <v>0</v>
      </c>
      <c r="S25" s="94">
        <f ca="1">IFERROR(IF(SUM(S23:OFFSET(S23,0,MAX(-S3+1,-11)))&lt;0,0,SUM(S23:OFFSET(S23,0,MAX(-S3+1,-11)))*VLOOKUP(S3,Drivers!$C$6:$G$35,5,FALSE)),0)</f>
        <v>0</v>
      </c>
      <c r="T25" s="94">
        <f ca="1">IFERROR(IF(SUM(T23:OFFSET(T23,0,MAX(-T3+1,-11)))&lt;0,0,SUM(T23:OFFSET(T23,0,MAX(-T3+1,-11)))*VLOOKUP(T3,Drivers!$C$6:$G$35,5,FALSE)),0)</f>
        <v>0</v>
      </c>
      <c r="U25" s="94">
        <f ca="1">IFERROR(IF(SUM(U23:OFFSET(U23,0,MAX(-U3+1,-11)))&lt;0,0,SUM(U23:OFFSET(U23,0,MAX(-U3+1,-11)))*VLOOKUP(U3,Drivers!$C$6:$G$35,5,FALSE)),0)</f>
        <v>0</v>
      </c>
      <c r="V25" s="93">
        <f ca="1">IFERROR(IF(SUM(V23:OFFSET(V23,0,MAX(-V3+1,-11)))&lt;0,0,SUM(V23:OFFSET(V23,0,MAX(-V3+1,-11)))*VLOOKUP(V3,Drivers!$C$6:$G$35,5,FALSE)),0)</f>
        <v>0</v>
      </c>
      <c r="W25" s="94">
        <f ca="1">IFERROR(IF(SUM(W23:OFFSET(W23,0,MAX(-W3+1,-11)))&lt;0,0,SUM(W23:OFFSET(W23,0,MAX(-W3+1,-11)))*VLOOKUP(W3,Drivers!$C$6:$G$35,5,FALSE)),0)</f>
        <v>16.309040062373608</v>
      </c>
      <c r="X25" s="94">
        <f ca="1">IFERROR(IF(SUM(X23:OFFSET(X23,0,MAX(-X3+1,-11)))&lt;0,0,SUM(X23:OFFSET(X23,0,MAX(-X3+1,-11)))*VLOOKUP(X3,Drivers!$C$6:$G$35,5,FALSE)),0)</f>
        <v>0</v>
      </c>
      <c r="Y25" s="94">
        <f ca="1">IFERROR(IF(SUM(Y23:OFFSET(Y23,0,MAX(-Y3+1,-11)))&lt;0,0,SUM(Y23:OFFSET(Y23,0,MAX(-Y3+1,-11)))*VLOOKUP(Y3,Drivers!$C$6:$G$35,5,FALSE)),0)</f>
        <v>0</v>
      </c>
      <c r="Z25" s="94">
        <f ca="1">IFERROR(IF(SUM(Z23:OFFSET(Z23,0,MAX(-Z3+1,-11)))&lt;0,0,SUM(Z23:OFFSET(Z23,0,MAX(-Z3+1,-11)))*VLOOKUP(Z3,Drivers!$C$6:$G$35,5,FALSE)),0)</f>
        <v>0</v>
      </c>
      <c r="AA25" s="94">
        <f ca="1">IFERROR(IF(SUM(AA23:OFFSET(AA23,0,MAX(-AA3+1,-11)))&lt;0,0,SUM(AA23:OFFSET(AA23,0,MAX(-AA3+1,-11)))*VLOOKUP(AA3,Drivers!$C$6:$G$35,5,FALSE)),0)</f>
        <v>0</v>
      </c>
      <c r="AB25" s="94">
        <f ca="1">IFERROR(IF(SUM(AB23:OFFSET(AB23,0,MAX(-AB3+1,-11)))&lt;0,0,SUM(AB23:OFFSET(AB23,0,MAX(-AB3+1,-11)))*VLOOKUP(AB3,Drivers!$C$6:$G$35,5,FALSE)),0)</f>
        <v>0</v>
      </c>
      <c r="AC25" s="94">
        <f ca="1">IFERROR(IF(SUM(AC23:OFFSET(AC23,0,MAX(-AC3+1,-11)))&lt;0,0,SUM(AC23:OFFSET(AC23,0,MAX(-AC3+1,-11)))*VLOOKUP(AC3,Drivers!$C$6:$G$35,5,FALSE)),0)</f>
        <v>0</v>
      </c>
      <c r="AD25" s="94">
        <f ca="1">IFERROR(IF(SUM(AD23:OFFSET(AD23,0,MAX(-AD3+1,-11)))&lt;0,0,SUM(AD23:OFFSET(AD23,0,MAX(-AD3+1,-11)))*VLOOKUP(AD3,Drivers!$C$6:$G$35,5,FALSE)),0)</f>
        <v>0</v>
      </c>
      <c r="AE25" s="94">
        <f ca="1">IFERROR(IF(SUM(AE23:OFFSET(AE23,0,MAX(-AE3+1,-11)))&lt;0,0,SUM(AE23:OFFSET(AE23,0,MAX(-AE3+1,-11)))*VLOOKUP(AE3,Drivers!$C$6:$G$35,5,FALSE)),0)</f>
        <v>0</v>
      </c>
      <c r="AF25" s="94">
        <f ca="1">IFERROR(IF(SUM(AF23:OFFSET(AF23,0,MAX(-AF3+1,-11)))&lt;0,0,SUM(AF23:OFFSET(AF23,0,MAX(-AF3+1,-11)))*VLOOKUP(AF3,Drivers!$C$6:$G$35,5,FALSE)),0)</f>
        <v>0</v>
      </c>
      <c r="AG25" s="94">
        <f ca="1">IFERROR(IF(SUM(AG23:OFFSET(AG23,0,MAX(-AG3+1,-11)))&lt;0,0,SUM(AG23:OFFSET(AG23,0,MAX(-AG3+1,-11)))*VLOOKUP(AG3,Drivers!$C$6:$G$35,5,FALSE)),0)</f>
        <v>0</v>
      </c>
      <c r="AH25" s="93">
        <f ca="1">IFERROR(IF(SUM(AH23:OFFSET(AH23,0,MAX(-AH3+1,-11)))&lt;0,0,SUM(AH23:OFFSET(AH23,0,MAX(-AH3+1,-11)))*VLOOKUP(AH3,Drivers!$C$6:$G$35,5,FALSE)),0)</f>
        <v>0</v>
      </c>
      <c r="AI25" s="94">
        <f ca="1">IFERROR(IF(SUM(AI23:OFFSET(AI23,0,MAX(-AI3+1,-11)))&lt;0,0,SUM(AI23:OFFSET(AI23,0,MAX(-AI3+1,-11)))*VLOOKUP(AI3,Drivers!$C$6:$G$35,5,FALSE)),0)</f>
        <v>0</v>
      </c>
      <c r="AJ25" s="94">
        <f ca="1">IFERROR(IF(SUM(AJ23:OFFSET(AJ23,0,MAX(-AJ3+1,-11)))&lt;0,0,SUM(AJ23:OFFSET(AJ23,0,MAX(-AJ3+1,-11)))*VLOOKUP(AJ3,Drivers!$C$6:$G$35,5,FALSE)),0)</f>
        <v>0</v>
      </c>
      <c r="AK25" s="94">
        <f ca="1">IFERROR(IF(SUM(AK23:OFFSET(AK23,0,MAX(-AK3+1,-11)))&lt;0,0,SUM(AK23:OFFSET(AK23,0,MAX(-AK3+1,-11)))*VLOOKUP(AK3,Drivers!$C$6:$G$35,5,FALSE)),0)</f>
        <v>0</v>
      </c>
      <c r="AL25" s="94">
        <f ca="1">IFERROR(IF(SUM(AL23:OFFSET(AL23,0,MAX(-AL3+1,-11)))&lt;0,0,SUM(AL23:OFFSET(AL23,0,MAX(-AL3+1,-11)))*VLOOKUP(AL3,Drivers!$C$6:$G$35,5,FALSE)),0)</f>
        <v>0</v>
      </c>
      <c r="AM25" s="94">
        <f ca="1">IFERROR(IF(SUM(AM23:OFFSET(AM23,0,MAX(-AM3+1,-11)))&lt;0,0,SUM(AM23:OFFSET(AM23,0,MAX(-AM3+1,-11)))*VLOOKUP(AM3,Drivers!$C$6:$G$35,5,FALSE)),0)</f>
        <v>0</v>
      </c>
      <c r="AN25" s="94">
        <f ca="1">IFERROR(IF(SUM(AN23:OFFSET(AN23,0,MAX(-AN3+1,-11)))&lt;0,0,SUM(AN23:OFFSET(AN23,0,MAX(-AN3+1,-11)))*VLOOKUP(AN3,Drivers!$C$6:$G$35,5,FALSE)),0)</f>
        <v>0</v>
      </c>
      <c r="AO25" s="94">
        <f ca="1">IFERROR(IF(SUM(AO23:OFFSET(AO23,0,MAX(-AO3+1,-11)))&lt;0,0,SUM(AO23:OFFSET(AO23,0,MAX(-AO3+1,-11)))*VLOOKUP(AO3,Drivers!$C$6:$G$35,5,FALSE)),0)</f>
        <v>0</v>
      </c>
      <c r="AP25" s="94">
        <f ca="1">IFERROR(IF(SUM(AP23:OFFSET(AP23,0,MAX(-AP3+1,-11)))&lt;0,0,SUM(AP23:OFFSET(AP23,0,MAX(-AP3+1,-11)))*VLOOKUP(AP3,Drivers!$C$6:$G$35,5,FALSE)),0)</f>
        <v>0</v>
      </c>
      <c r="AQ25" s="94">
        <f ca="1">IFERROR(IF(SUM(AQ23:OFFSET(AQ23,0,MAX(-AQ3+1,-11)))&lt;0,0,SUM(AQ23:OFFSET(AQ23,0,MAX(-AQ3+1,-11)))*VLOOKUP(AQ3,Drivers!$C$6:$G$35,5,FALSE)),0)</f>
        <v>0</v>
      </c>
      <c r="AR25" s="94">
        <f ca="1">IFERROR(IF(SUM(AR23:OFFSET(AR23,0,MAX(-AR3+1,-11)))&lt;0,0,SUM(AR23:OFFSET(AR23,0,MAX(-AR3+1,-11)))*VLOOKUP(AR3,Drivers!$C$6:$G$35,5,FALSE)),0)</f>
        <v>0</v>
      </c>
      <c r="AS25" s="94">
        <f ca="1">IFERROR(IF(SUM(AS23:OFFSET(AS23,0,MAX(-AS3+1,-11)))&lt;0,0,SUM(AS23:OFFSET(AS23,0,MAX(-AS3+1,-11)))*VLOOKUP(AS3,Drivers!$C$6:$G$35,5,FALSE)),0)</f>
        <v>0</v>
      </c>
      <c r="AT25" s="93">
        <f ca="1">IFERROR(IF(SUM(AT23:OFFSET(AT23,0,MAX(-AT3+1,-11)))&lt;0,0,SUM(AT23:OFFSET(AT23,0,MAX(-AT3+1,-11)))*VLOOKUP(AT3,Drivers!$C$6:$G$35,5,FALSE)),0)</f>
        <v>0</v>
      </c>
      <c r="AU25" s="94">
        <f ca="1">IFERROR(IF(SUM(AU23:OFFSET(AU23,0,MAX(-AU3+1,-11)))&lt;0,0,SUM(AU23:OFFSET(AU23,0,MAX(-AU3+1,-11)))*VLOOKUP(AU3,Drivers!$C$6:$G$35,5,FALSE)),0)</f>
        <v>0</v>
      </c>
      <c r="AV25" s="94">
        <f ca="1">IFERROR(IF(SUM(AV23:OFFSET(AV23,0,MAX(-AV3+1,-11)))&lt;0,0,SUM(AV23:OFFSET(AV23,0,MAX(-AV3+1,-11)))*VLOOKUP(AV3,Drivers!$C$6:$G$35,5,FALSE)),0)</f>
        <v>0</v>
      </c>
      <c r="AW25" s="94">
        <f ca="1">IFERROR(IF(SUM(AW23:OFFSET(AW23,0,MAX(-AW3+1,-11)))&lt;0,0,SUM(AW23:OFFSET(AW23,0,MAX(-AW3+1,-11)))*VLOOKUP(AW3,Drivers!$C$6:$G$35,5,FALSE)),0)</f>
        <v>0</v>
      </c>
      <c r="AX25" s="94">
        <f ca="1">IFERROR(IF(SUM(AX23:OFFSET(AX23,0,MAX(-AX3+1,-11)))&lt;0,0,SUM(AX23:OFFSET(AX23,0,MAX(-AX3+1,-11)))*VLOOKUP(AX3,Drivers!$C$6:$G$35,5,FALSE)),0)</f>
        <v>0</v>
      </c>
      <c r="AY25" s="94">
        <f ca="1">IFERROR(IF(SUM(AY23:OFFSET(AY23,0,MAX(-AY3+1,-11)))&lt;0,0,SUM(AY23:OFFSET(AY23,0,MAX(-AY3+1,-11)))*VLOOKUP(AY3,Drivers!$C$6:$G$35,5,FALSE)),0)</f>
        <v>0</v>
      </c>
      <c r="AZ25" s="94">
        <f ca="1">IFERROR(IF(SUM(AZ23:OFFSET(AZ23,0,MAX(-AZ3+1,-11)))&lt;0,0,SUM(AZ23:OFFSET(AZ23,0,MAX(-AZ3+1,-11)))*VLOOKUP(AZ3,Drivers!$C$6:$G$35,5,FALSE)),0)</f>
        <v>0</v>
      </c>
      <c r="BA25" s="94">
        <f ca="1">IFERROR(IF(SUM(BA23:OFFSET(BA23,0,MAX(-BA3+1,-11)))&lt;0,0,SUM(BA23:OFFSET(BA23,0,MAX(-BA3+1,-11)))*VLOOKUP(BA3,Drivers!$C$6:$G$35,5,FALSE)),0)</f>
        <v>0</v>
      </c>
      <c r="BB25" s="94">
        <f ca="1">IFERROR(IF(SUM(BB23:OFFSET(BB23,0,MAX(-BB3+1,-11)))&lt;0,0,SUM(BB23:OFFSET(BB23,0,MAX(-BB3+1,-11)))*VLOOKUP(BB3,Drivers!$C$6:$G$35,5,FALSE)),0)</f>
        <v>0</v>
      </c>
      <c r="BC25" s="94">
        <f ca="1">IFERROR(IF(SUM(BC23:OFFSET(BC23,0,MAX(-BC3+1,-11)))&lt;0,0,SUM(BC23:OFFSET(BC23,0,MAX(-BC3+1,-11)))*VLOOKUP(BC3,Drivers!$C$6:$G$35,5,FALSE)),0)</f>
        <v>0</v>
      </c>
      <c r="BD25" s="94">
        <f ca="1">IFERROR(IF(SUM(BD23:OFFSET(BD23,0,MAX(-BD3+1,-11)))&lt;0,0,SUM(BD23:OFFSET(BD23,0,MAX(-BD3+1,-11)))*VLOOKUP(BD3,Drivers!$C$6:$G$35,5,FALSE)),0)</f>
        <v>0</v>
      </c>
      <c r="BE25" s="94">
        <f ca="1">IFERROR(IF(SUM(BE23:OFFSET(BE23,0,MAX(-BE3+1,-11)))&lt;0,0,SUM(BE23:OFFSET(BE23,0,MAX(-BE3+1,-11)))*VLOOKUP(BE3,Drivers!$C$6:$G$35,5,FALSE)),0)</f>
        <v>0</v>
      </c>
      <c r="BF25" s="93">
        <f ca="1">IFERROR(IF(SUM(BF23:OFFSET(BF23,0,MAX(-BF3+1,-11)))&lt;0,0,SUM(BF23:OFFSET(BF23,0,MAX(-BF3+1,-11)))*VLOOKUP(BF3,Drivers!$C$6:$G$35,5,FALSE)),0)</f>
        <v>0</v>
      </c>
      <c r="BG25" s="94">
        <f ca="1">IFERROR(IF(SUM(BG23:OFFSET(BG23,0,MAX(-BG3+1,-11)))&lt;0,0,SUM(BG23:OFFSET(BG23,0,MAX(-BG3+1,-11)))*VLOOKUP(BG3,Drivers!$C$6:$G$35,5,FALSE)),0)</f>
        <v>0</v>
      </c>
      <c r="BH25" s="94">
        <f ca="1">IFERROR(IF(SUM(BH23:OFFSET(BH23,0,MAX(-BH3+1,-11)))&lt;0,0,SUM(BH23:OFFSET(BH23,0,MAX(-BH3+1,-11)))*VLOOKUP(BH3,Drivers!$C$6:$G$35,5,FALSE)),0)</f>
        <v>0</v>
      </c>
      <c r="BI25" s="94">
        <f ca="1">IFERROR(IF(SUM(BI23:OFFSET(BI23,0,MAX(-BI3+1,-11)))&lt;0,0,SUM(BI23:OFFSET(BI23,0,MAX(-BI3+1,-11)))*VLOOKUP(BI3,Drivers!$C$6:$G$35,5,FALSE)),0)</f>
        <v>0</v>
      </c>
      <c r="BJ25" s="94">
        <f ca="1">IFERROR(IF(SUM(BJ23:OFFSET(BJ23,0,MAX(-BJ3+1,-11)))&lt;0,0,SUM(BJ23:OFFSET(BJ23,0,MAX(-BJ3+1,-11)))*VLOOKUP(BJ3,Drivers!$C$6:$G$35,5,FALSE)),0)</f>
        <v>0</v>
      </c>
      <c r="BK25" s="94">
        <f ca="1">IFERROR(IF(SUM(BK23:OFFSET(BK23,0,MAX(-BK3+1,-11)))&lt;0,0,SUM(BK23:OFFSET(BK23,0,MAX(-BK3+1,-11)))*VLOOKUP(BK3,Drivers!$C$6:$G$35,5,FALSE)),0)</f>
        <v>0</v>
      </c>
      <c r="BL25" s="94">
        <f ca="1">IFERROR(IF(SUM(BL23:OFFSET(BL23,0,MAX(-BL3+1,-11)))&lt;0,0,SUM(BL23:OFFSET(BL23,0,MAX(-BL3+1,-11)))*VLOOKUP(BL3,Drivers!$C$6:$G$35,5,FALSE)),0)</f>
        <v>0</v>
      </c>
      <c r="BM25" s="94">
        <f ca="1">IFERROR(IF(SUM(BM23:OFFSET(BM23,0,MAX(-BM3+1,-11)))&lt;0,0,SUM(BM23:OFFSET(BM23,0,MAX(-BM3+1,-11)))*VLOOKUP(BM3,Drivers!$C$6:$G$35,5,FALSE)),0)</f>
        <v>0</v>
      </c>
      <c r="BN25" s="94">
        <f ca="1">IFERROR(IF(SUM(BN23:OFFSET(BN23,0,MAX(-BN3+1,-11)))&lt;0,0,SUM(BN23:OFFSET(BN23,0,MAX(-BN3+1,-11)))*VLOOKUP(BN3,Drivers!$C$6:$G$35,5,FALSE)),0)</f>
        <v>0</v>
      </c>
      <c r="BO25" s="94">
        <f ca="1">IFERROR(IF(SUM(BO23:OFFSET(BO23,0,MAX(-BO3+1,-11)))&lt;0,0,SUM(BO23:OFFSET(BO23,0,MAX(-BO3+1,-11)))*VLOOKUP(BO3,Drivers!$C$6:$G$35,5,FALSE)),0)</f>
        <v>0</v>
      </c>
      <c r="BP25" s="94">
        <f ca="1">IFERROR(IF(SUM(BP23:OFFSET(BP23,0,MAX(-BP3+1,-11)))&lt;0,0,SUM(BP23:OFFSET(BP23,0,MAX(-BP3+1,-11)))*VLOOKUP(BP3,Drivers!$C$6:$G$35,5,FALSE)),0)</f>
        <v>0</v>
      </c>
      <c r="BQ25" s="94">
        <f ca="1">IFERROR(IF(SUM(BQ23:OFFSET(BQ23,0,MAX(-BQ3+1,-11)))&lt;0,0,SUM(BQ23:OFFSET(BQ23,0,MAX(-BQ3+1,-11)))*VLOOKUP(BQ3,Drivers!$C$6:$G$35,5,FALSE)),0)</f>
        <v>0</v>
      </c>
      <c r="BR25" s="93">
        <f ca="1">IFERROR(IF(SUM(BR23:OFFSET(BR23,0,MAX(-BR3+1,-11)))&lt;0,0,SUM(BR23:OFFSET(BR23,0,MAX(-BR3+1,-11)))*VLOOKUP(BR3,Drivers!$C$6:$G$35,5,FALSE)),0)</f>
        <v>0</v>
      </c>
    </row>
    <row r="26" spans="1:70" ht="13.2" x14ac:dyDescent="0.3">
      <c r="B26" s="34"/>
      <c r="C26" s="56" t="s">
        <v>45</v>
      </c>
      <c r="E26" s="95">
        <f ca="1">V26</f>
        <v>310.6480410573194</v>
      </c>
      <c r="F26" s="95">
        <f ca="1">AH26</f>
        <v>656.8033968516836</v>
      </c>
      <c r="G26" s="95">
        <f ca="1">AT26</f>
        <v>1086.8897560908433</v>
      </c>
      <c r="H26" s="95">
        <f ca="1">BF26</f>
        <v>1556.9344655346626</v>
      </c>
      <c r="I26" s="95">
        <f ca="1">BR26</f>
        <v>2069.406271251275</v>
      </c>
      <c r="J26" s="90"/>
      <c r="K26" s="90">
        <f ca="1">K23-K25</f>
        <v>28.537500000000012</v>
      </c>
      <c r="L26" s="90">
        <f t="shared" ref="L26:AQ26" ca="1" si="33">L23-L25+K26</f>
        <v>57.307497597555795</v>
      </c>
      <c r="M26" s="90">
        <f t="shared" ca="1" si="33"/>
        <v>86.311178109361464</v>
      </c>
      <c r="N26" s="90">
        <f t="shared" ca="1" si="33"/>
        <v>115.54973233549799</v>
      </c>
      <c r="O26" s="90">
        <f t="shared" ca="1" si="33"/>
        <v>145.02435658394128</v>
      </c>
      <c r="P26" s="90">
        <f t="shared" ca="1" si="33"/>
        <v>153.29523456851723</v>
      </c>
      <c r="Q26" s="90">
        <f t="shared" ca="1" si="33"/>
        <v>178.83739565455437</v>
      </c>
      <c r="R26" s="90">
        <f t="shared" ca="1" si="33"/>
        <v>204.61924898089583</v>
      </c>
      <c r="S26" s="90">
        <f t="shared" ca="1" si="33"/>
        <v>230.64201313434131</v>
      </c>
      <c r="T26" s="90">
        <f t="shared" ca="1" si="33"/>
        <v>256.90691233375287</v>
      </c>
      <c r="U26" s="90">
        <f t="shared" ca="1" si="33"/>
        <v>283.65517645521737</v>
      </c>
      <c r="V26" s="95">
        <f t="shared" ca="1" si="33"/>
        <v>310.6480410573194</v>
      </c>
      <c r="W26" s="90">
        <f t="shared" ca="1" si="33"/>
        <v>321.37645734415213</v>
      </c>
      <c r="X26" s="90">
        <f t="shared" ca="1" si="33"/>
        <v>348.66100244030775</v>
      </c>
      <c r="Y26" s="90">
        <f t="shared" ca="1" si="33"/>
        <v>376.19388904224405</v>
      </c>
      <c r="Z26" s="90">
        <f t="shared" ca="1" si="33"/>
        <v>403.97637569349962</v>
      </c>
      <c r="AA26" s="90">
        <f t="shared" ca="1" si="33"/>
        <v>432.00972674815449</v>
      </c>
      <c r="AB26" s="90">
        <f t="shared" ca="1" si="33"/>
        <v>460.29521239677791</v>
      </c>
      <c r="AC26" s="90">
        <f t="shared" ca="1" si="33"/>
        <v>488.83410869249013</v>
      </c>
      <c r="AD26" s="90">
        <f t="shared" ca="1" si="33"/>
        <v>521.91341186285342</v>
      </c>
      <c r="AE26" s="90">
        <f t="shared" ca="1" si="33"/>
        <v>555.24869547902085</v>
      </c>
      <c r="AF26" s="90">
        <f t="shared" ca="1" si="33"/>
        <v>588.84125333928671</v>
      </c>
      <c r="AG26" s="90">
        <f t="shared" ca="1" si="33"/>
        <v>622.69238520989575</v>
      </c>
      <c r="AH26" s="95">
        <f t="shared" ca="1" si="33"/>
        <v>656.8033968516836</v>
      </c>
      <c r="AI26" s="90">
        <f t="shared" ca="1" si="33"/>
        <v>691.17560004683401</v>
      </c>
      <c r="AJ26" s="90">
        <f t="shared" ca="1" si="33"/>
        <v>725.81031262575425</v>
      </c>
      <c r="AK26" s="90">
        <f t="shared" ca="1" si="33"/>
        <v>760.70885849406852</v>
      </c>
      <c r="AL26" s="90">
        <f t="shared" ca="1" si="33"/>
        <v>795.87256765973007</v>
      </c>
      <c r="AM26" s="90">
        <f t="shared" ca="1" si="33"/>
        <v>831.30277626025247</v>
      </c>
      <c r="AN26" s="90">
        <f t="shared" ca="1" si="33"/>
        <v>867.00082659006102</v>
      </c>
      <c r="AO26" s="90">
        <f t="shared" ca="1" si="33"/>
        <v>902.96806712796399</v>
      </c>
      <c r="AP26" s="90">
        <f t="shared" ca="1" si="33"/>
        <v>939.2058525647451</v>
      </c>
      <c r="AQ26" s="90">
        <f t="shared" ca="1" si="33"/>
        <v>975.71554383087698</v>
      </c>
      <c r="AR26" s="90">
        <f t="shared" ref="AR26:BR26" ca="1" si="34">AR23-AR25+AQ26</f>
        <v>1012.4985081243569</v>
      </c>
      <c r="AS26" s="90">
        <f t="shared" ca="1" si="34"/>
        <v>1049.5561189386647</v>
      </c>
      <c r="AT26" s="95">
        <f t="shared" ca="1" si="34"/>
        <v>1086.8897560908433</v>
      </c>
      <c r="AU26" s="90">
        <f t="shared" ca="1" si="34"/>
        <v>1124.5008057497037</v>
      </c>
      <c r="AV26" s="90">
        <f t="shared" ca="1" si="34"/>
        <v>1162.3906604641527</v>
      </c>
      <c r="AW26" s="90">
        <f t="shared" ca="1" si="34"/>
        <v>1200.5607191916465</v>
      </c>
      <c r="AX26" s="90">
        <f t="shared" ca="1" si="34"/>
        <v>1239.012387326768</v>
      </c>
      <c r="AY26" s="90">
        <f t="shared" ca="1" si="34"/>
        <v>1277.7470767299315</v>
      </c>
      <c r="AZ26" s="90">
        <f t="shared" ca="1" si="34"/>
        <v>1316.7662057562113</v>
      </c>
      <c r="BA26" s="90">
        <f t="shared" ca="1" si="34"/>
        <v>1356.0711992843001</v>
      </c>
      <c r="BB26" s="90">
        <f t="shared" ca="1" si="34"/>
        <v>1395.6634887455912</v>
      </c>
      <c r="BC26" s="90">
        <f t="shared" ca="1" si="34"/>
        <v>1435.5445121533912</v>
      </c>
      <c r="BD26" s="90">
        <f t="shared" ca="1" si="34"/>
        <v>1475.7157141322609</v>
      </c>
      <c r="BE26" s="90">
        <f t="shared" ca="1" si="34"/>
        <v>1516.1785459474831</v>
      </c>
      <c r="BF26" s="95">
        <f t="shared" ca="1" si="34"/>
        <v>1556.9344655346626</v>
      </c>
      <c r="BG26" s="90">
        <f t="shared" ca="1" si="34"/>
        <v>1597.9849375294546</v>
      </c>
      <c r="BH26" s="90">
        <f t="shared" ca="1" si="34"/>
        <v>1639.3314332974237</v>
      </c>
      <c r="BI26" s="90">
        <f t="shared" ca="1" si="34"/>
        <v>1680.9754309640359</v>
      </c>
      <c r="BJ26" s="90">
        <f t="shared" ca="1" si="34"/>
        <v>1722.9184154447805</v>
      </c>
      <c r="BK26" s="90">
        <f t="shared" ca="1" si="34"/>
        <v>1765.1618784754255</v>
      </c>
      <c r="BL26" s="90">
        <f t="shared" ca="1" si="34"/>
        <v>1807.7073186424047</v>
      </c>
      <c r="BM26" s="90">
        <f t="shared" ca="1" si="34"/>
        <v>1850.5562414133408</v>
      </c>
      <c r="BN26" s="90">
        <f t="shared" ca="1" si="34"/>
        <v>1893.7101591676999</v>
      </c>
      <c r="BO26" s="90">
        <f t="shared" ca="1" si="34"/>
        <v>1937.170591227582</v>
      </c>
      <c r="BP26" s="90">
        <f t="shared" ca="1" si="34"/>
        <v>1980.9390638886475</v>
      </c>
      <c r="BQ26" s="90">
        <f t="shared" ca="1" si="34"/>
        <v>2025.017110451178</v>
      </c>
      <c r="BR26" s="95">
        <f t="shared" ca="1" si="34"/>
        <v>2069.406271251275</v>
      </c>
    </row>
  </sheetData>
  <sheetProtection algorithmName="SHA-512" hashValue="BEETU1yrDuEMv18H0rNFYwwFaQybe5dkQFZL7RVjmNJmwfkPpmc0OtvT0daPMMvSNb+T3x1FLYqybC9PhAbRIA==" saltValue="Bh6fFE9Plku7yRwZhCRoQQ==" spinCount="100000" sheet="1" objects="1" scenarios="1" selectLockedCells="1" selectUnlockedCells="1"/>
  <printOptions horizontalCentered="1"/>
  <pageMargins left="0.5" right="0.5" top="0.75" bottom="0.5" header="0.3" footer="0.3"/>
  <pageSetup fitToWidth="5" orientation="landscape" r:id="rId1"/>
  <headerFooter scaleWithDoc="0" alignWithMargins="0">
    <oddFooter>&amp;L&amp;10Income Statement, p.&amp;P of &amp;N&amp;R&amp;10Updated &amp;D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D5664-C331-48A0-B1AD-2160A6D3482F}">
  <sheetPr codeName="Sheet6">
    <tabColor theme="4" tint="0.79998168889431442"/>
    <outlinePr showOutlineSymbols="0"/>
    <pageSetUpPr fitToPage="1"/>
  </sheetPr>
  <dimension ref="A1:BR30"/>
  <sheetViews>
    <sheetView showGridLines="0" showRowColHeaders="0" showZeros="0" showOutlineSymbols="0" zoomScaleNormal="100" workbookViewId="0">
      <pane xSplit="3" ySplit="3" topLeftCell="D4" activePane="bottomRight" state="frozen"/>
      <selection activeCell="A2" sqref="A2:A3"/>
      <selection pane="topRight" activeCell="A2" sqref="A2:A3"/>
      <selection pane="bottomLeft" activeCell="A2" sqref="A2:A3"/>
      <selection pane="bottomRight"/>
    </sheetView>
  </sheetViews>
  <sheetFormatPr defaultColWidth="9.109375" defaultRowHeight="12.6" x14ac:dyDescent="0.25"/>
  <cols>
    <col min="1" max="1" width="3" style="5" customWidth="1"/>
    <col min="2" max="2" width="1.6640625" style="5" customWidth="1"/>
    <col min="3" max="3" width="21.88671875" style="34" customWidth="1"/>
    <col min="4" max="4" width="1.109375" style="34" customWidth="1"/>
    <col min="5" max="9" width="8.33203125" style="34" customWidth="1"/>
    <col min="10" max="10" width="2.21875" style="34" customWidth="1"/>
    <col min="11" max="70" width="8.33203125" style="34" customWidth="1"/>
    <col min="71" max="16384" width="9.109375" style="34"/>
  </cols>
  <sheetData>
    <row r="1" spans="1:70" s="2" customFormat="1" ht="10.199999999999999" x14ac:dyDescent="0.2">
      <c r="A1" s="1" t="s">
        <v>0</v>
      </c>
      <c r="N1" s="3"/>
      <c r="R1" s="4"/>
      <c r="T1" s="4"/>
    </row>
    <row r="2" spans="1:70" s="5" customFormat="1" ht="21" customHeight="1" x14ac:dyDescent="0.2">
      <c r="B2" s="41"/>
      <c r="D2" s="36"/>
      <c r="E2" s="36"/>
      <c r="F2" s="36"/>
      <c r="G2" s="36"/>
      <c r="H2" s="36"/>
      <c r="I2" s="36"/>
      <c r="J2" s="36"/>
    </row>
    <row r="3" spans="1:70" s="42" customFormat="1" ht="19.8" x14ac:dyDescent="0.4">
      <c r="A3" s="37"/>
      <c r="C3" s="7" t="s">
        <v>28</v>
      </c>
      <c r="D3" s="39"/>
      <c r="E3" s="46">
        <v>1</v>
      </c>
      <c r="F3" s="46">
        <v>2</v>
      </c>
      <c r="G3" s="46">
        <v>3</v>
      </c>
      <c r="H3" s="46">
        <v>4</v>
      </c>
      <c r="I3" s="46">
        <v>5</v>
      </c>
      <c r="J3" s="105"/>
      <c r="K3" s="11">
        <v>1</v>
      </c>
      <c r="L3" s="11">
        <v>2</v>
      </c>
      <c r="M3" s="11">
        <v>3</v>
      </c>
      <c r="N3" s="11">
        <v>4</v>
      </c>
      <c r="O3" s="11">
        <v>5</v>
      </c>
      <c r="P3" s="11">
        <v>6</v>
      </c>
      <c r="Q3" s="11">
        <v>7</v>
      </c>
      <c r="R3" s="11">
        <v>8</v>
      </c>
      <c r="S3" s="11">
        <v>9</v>
      </c>
      <c r="T3" s="11">
        <v>10</v>
      </c>
      <c r="U3" s="11">
        <v>11</v>
      </c>
      <c r="V3" s="47">
        <v>12</v>
      </c>
      <c r="W3" s="11">
        <v>13</v>
      </c>
      <c r="X3" s="11">
        <v>14</v>
      </c>
      <c r="Y3" s="11">
        <v>15</v>
      </c>
      <c r="Z3" s="11">
        <v>16</v>
      </c>
      <c r="AA3" s="11">
        <v>17</v>
      </c>
      <c r="AB3" s="11">
        <v>18</v>
      </c>
      <c r="AC3" s="11">
        <v>19</v>
      </c>
      <c r="AD3" s="11">
        <v>20</v>
      </c>
      <c r="AE3" s="11">
        <v>21</v>
      </c>
      <c r="AF3" s="11">
        <v>22</v>
      </c>
      <c r="AG3" s="11">
        <v>23</v>
      </c>
      <c r="AH3" s="47">
        <v>24</v>
      </c>
      <c r="AI3" s="11">
        <v>25</v>
      </c>
      <c r="AJ3" s="11">
        <v>26</v>
      </c>
      <c r="AK3" s="11">
        <v>27</v>
      </c>
      <c r="AL3" s="11">
        <v>28</v>
      </c>
      <c r="AM3" s="11">
        <v>29</v>
      </c>
      <c r="AN3" s="11">
        <v>30</v>
      </c>
      <c r="AO3" s="11">
        <v>31</v>
      </c>
      <c r="AP3" s="11">
        <v>32</v>
      </c>
      <c r="AQ3" s="11">
        <v>33</v>
      </c>
      <c r="AR3" s="11">
        <v>34</v>
      </c>
      <c r="AS3" s="11">
        <v>35</v>
      </c>
      <c r="AT3" s="47">
        <v>36</v>
      </c>
      <c r="AU3" s="11">
        <v>37</v>
      </c>
      <c r="AV3" s="11">
        <v>38</v>
      </c>
      <c r="AW3" s="11">
        <v>39</v>
      </c>
      <c r="AX3" s="11">
        <v>40</v>
      </c>
      <c r="AY3" s="11">
        <v>41</v>
      </c>
      <c r="AZ3" s="11">
        <v>42</v>
      </c>
      <c r="BA3" s="11">
        <v>43</v>
      </c>
      <c r="BB3" s="11">
        <v>44</v>
      </c>
      <c r="BC3" s="11">
        <v>45</v>
      </c>
      <c r="BD3" s="11">
        <v>46</v>
      </c>
      <c r="BE3" s="11">
        <v>47</v>
      </c>
      <c r="BF3" s="47">
        <v>48</v>
      </c>
      <c r="BG3" s="11">
        <v>49</v>
      </c>
      <c r="BH3" s="11">
        <v>50</v>
      </c>
      <c r="BI3" s="11">
        <v>51</v>
      </c>
      <c r="BJ3" s="11">
        <v>52</v>
      </c>
      <c r="BK3" s="11">
        <v>53</v>
      </c>
      <c r="BL3" s="11">
        <v>54</v>
      </c>
      <c r="BM3" s="11">
        <v>55</v>
      </c>
      <c r="BN3" s="11">
        <v>56</v>
      </c>
      <c r="BO3" s="11">
        <v>57</v>
      </c>
      <c r="BP3" s="11">
        <v>58</v>
      </c>
      <c r="BQ3" s="11">
        <v>59</v>
      </c>
      <c r="BR3" s="47">
        <v>60</v>
      </c>
    </row>
    <row r="4" spans="1:70" s="14" customFormat="1" ht="6" customHeight="1" x14ac:dyDescent="0.25">
      <c r="A4" s="13"/>
      <c r="B4" s="79"/>
      <c r="E4" s="48"/>
      <c r="F4" s="48"/>
      <c r="G4" s="48"/>
      <c r="H4" s="48"/>
      <c r="I4" s="48"/>
      <c r="J4" s="88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48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48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48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48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48"/>
    </row>
    <row r="5" spans="1:70" s="14" customFormat="1" ht="13.2" x14ac:dyDescent="0.3">
      <c r="A5" s="13"/>
      <c r="B5" s="13"/>
      <c r="C5" s="61" t="s">
        <v>75</v>
      </c>
      <c r="E5" s="89">
        <f ca="1">V5</f>
        <v>267.26337791747028</v>
      </c>
      <c r="F5" s="89">
        <f ca="1">AH5</f>
        <v>757.42595516306733</v>
      </c>
      <c r="G5" s="89">
        <f ca="1">AT5</f>
        <v>1169.896290478571</v>
      </c>
      <c r="H5" s="89">
        <f ca="1">BF5</f>
        <v>1620.5242890834716</v>
      </c>
      <c r="I5" s="89">
        <f ca="1">BR5</f>
        <v>2111.5811237477856</v>
      </c>
      <c r="J5" s="88"/>
      <c r="K5" s="90">
        <f ca="1">Cash!K34</f>
        <v>49.923333333333375</v>
      </c>
      <c r="L5" s="91">
        <f ca="1">Cash!L34</f>
        <v>77.925661997057745</v>
      </c>
      <c r="M5" s="91">
        <f ca="1">Cash!M34</f>
        <v>56.152352423102712</v>
      </c>
      <c r="N5" s="91">
        <f ca="1">Cash!N34</f>
        <v>84.604515200196175</v>
      </c>
      <c r="O5" s="91">
        <f ca="1">Cash!O34</f>
        <v>113.28326570702197</v>
      </c>
      <c r="P5" s="91">
        <f ca="1">Cash!P34</f>
        <v>72.891563146487186</v>
      </c>
      <c r="Q5" s="91">
        <f ca="1">Cash!Q34</f>
        <v>104.76149735619848</v>
      </c>
      <c r="R5" s="91">
        <f ca="1">Cash!R34</f>
        <v>136.86139435237803</v>
      </c>
      <c r="S5" s="91">
        <f ca="1">Cash!S34</f>
        <v>169.19238885472217</v>
      </c>
      <c r="T5" s="91">
        <f ca="1">Cash!T34</f>
        <v>201.75562046371741</v>
      </c>
      <c r="U5" s="91">
        <f ca="1">Cash!U34</f>
        <v>234.3922336789511</v>
      </c>
      <c r="V5" s="89">
        <f ca="1">Cash!V34</f>
        <v>267.26337791747028</v>
      </c>
      <c r="W5" s="90">
        <f ca="1">Cash!W34</f>
        <v>393.85991746981375</v>
      </c>
      <c r="X5" s="91">
        <f ca="1">Cash!X34</f>
        <v>427.00234176796084</v>
      </c>
      <c r="Y5" s="91">
        <f ca="1">Cash!Y34</f>
        <v>460.3827750295905</v>
      </c>
      <c r="Z5" s="91">
        <f ca="1">Cash!Z34</f>
        <v>494.00238652612467</v>
      </c>
      <c r="AA5" s="91">
        <f ca="1">Cash!AA34</f>
        <v>527.86235053895007</v>
      </c>
      <c r="AB5" s="91">
        <f ca="1">Cash!AB34</f>
        <v>561.96384637806159</v>
      </c>
      <c r="AC5" s="91">
        <f ca="1">Cash!AC34</f>
        <v>596.30805840075232</v>
      </c>
      <c r="AD5" s="91">
        <f ca="1">Cash!AD34</f>
        <v>628.03903317320714</v>
      </c>
      <c r="AE5" s="91">
        <f ca="1">Cash!AE34</f>
        <v>660.01510806071542</v>
      </c>
      <c r="AF5" s="91">
        <f ca="1">Cash!AF34</f>
        <v>692.23748267507244</v>
      </c>
      <c r="AG5" s="91">
        <f ca="1">Cash!AG34</f>
        <v>724.70736175059972</v>
      </c>
      <c r="AH5" s="89">
        <f ca="1">Cash!AH34</f>
        <v>757.42595516306733</v>
      </c>
      <c r="AI5" s="90">
        <f ca="1">Cash!AI34</f>
        <v>790.39447794866419</v>
      </c>
      <c r="AJ5" s="91">
        <f ca="1">Cash!AJ34</f>
        <v>823.61415032301306</v>
      </c>
      <c r="AK5" s="91">
        <f ca="1">Cash!AK34</f>
        <v>857.0861977002329</v>
      </c>
      <c r="AL5" s="91">
        <f ca="1">Cash!AL34</f>
        <v>890.81185071204493</v>
      </c>
      <c r="AM5" s="91">
        <f ca="1">Cash!AM34</f>
        <v>924.7923452269273</v>
      </c>
      <c r="AN5" s="91">
        <f ca="1">Cash!AN34</f>
        <v>959.02892236931223</v>
      </c>
      <c r="AO5" s="91">
        <f ca="1">Cash!AO34</f>
        <v>993.52282853883014</v>
      </c>
      <c r="AP5" s="91">
        <f ca="1">Cash!AP34</f>
        <v>1028.2753154295992</v>
      </c>
      <c r="AQ5" s="91">
        <f ca="1">Cash!AQ34</f>
        <v>1063.2876400495595</v>
      </c>
      <c r="AR5" s="91">
        <f ca="1">Cash!AR34</f>
        <v>1098.5610647398505</v>
      </c>
      <c r="AS5" s="91">
        <f ca="1">Cash!AS34</f>
        <v>1134.0968571942358</v>
      </c>
      <c r="AT5" s="89">
        <f ca="1">Cash!AT34</f>
        <v>1169.896290478571</v>
      </c>
      <c r="AU5" s="90">
        <f ca="1">Cash!AU34</f>
        <v>1205.9606430503154</v>
      </c>
      <c r="AV5" s="91">
        <f ca="1">Cash!AV34</f>
        <v>1242.2911987780885</v>
      </c>
      <c r="AW5" s="91">
        <f ca="1">Cash!AW34</f>
        <v>1278.8892469612708</v>
      </c>
      <c r="AX5" s="91">
        <f ca="1">Cash!AX34</f>
        <v>1315.7560823496469</v>
      </c>
      <c r="AY5" s="91">
        <f ca="1">Cash!AY34</f>
        <v>1352.8930051630932</v>
      </c>
      <c r="AZ5" s="91">
        <f ca="1">Cash!AZ34</f>
        <v>1390.3013211113087</v>
      </c>
      <c r="BA5" s="91">
        <f ca="1">Cash!BA34</f>
        <v>1427.9823414135881</v>
      </c>
      <c r="BB5" s="91">
        <f ca="1">Cash!BB34</f>
        <v>1465.9373828186394</v>
      </c>
      <c r="BC5" s="91">
        <f ca="1">Cash!BC34</f>
        <v>1504.1677676244428</v>
      </c>
      <c r="BD5" s="91">
        <f ca="1">Cash!BD34</f>
        <v>1542.6748236981516</v>
      </c>
      <c r="BE5" s="91">
        <f ca="1">Cash!BE34</f>
        <v>1581.4598844960365</v>
      </c>
      <c r="BF5" s="89">
        <f ca="1">Cash!BF34</f>
        <v>1620.5242890834716</v>
      </c>
      <c r="BG5" s="90">
        <f ca="1">Cash!BG34</f>
        <v>1659.8693821549609</v>
      </c>
      <c r="BH5" s="91">
        <f ca="1">Cash!BH34</f>
        <v>1699.4965140542085</v>
      </c>
      <c r="BI5" s="91">
        <f ca="1">Cash!BI34</f>
        <v>1739.4070407942268</v>
      </c>
      <c r="BJ5" s="91">
        <f ca="1">Cash!BJ34</f>
        <v>1779.6023240774884</v>
      </c>
      <c r="BK5" s="91">
        <f ca="1">Cash!BK34</f>
        <v>1820.0837313161187</v>
      </c>
      <c r="BL5" s="91">
        <f ca="1">Cash!BL34</f>
        <v>1860.8526356521254</v>
      </c>
      <c r="BM5" s="91">
        <f ca="1">Cash!BM34</f>
        <v>1901.9104159776725</v>
      </c>
      <c r="BN5" s="91">
        <f ca="1">Cash!BN34</f>
        <v>1943.2584569553924</v>
      </c>
      <c r="BO5" s="91">
        <f ca="1">Cash!BO34</f>
        <v>1984.8981490387359</v>
      </c>
      <c r="BP5" s="91">
        <f ca="1">Cash!BP34</f>
        <v>2026.830888492364</v>
      </c>
      <c r="BQ5" s="91">
        <f ca="1">Cash!BQ34</f>
        <v>2069.0580774125774</v>
      </c>
      <c r="BR5" s="89">
        <f ca="1">Cash!BR34</f>
        <v>2111.5811237477856</v>
      </c>
    </row>
    <row r="6" spans="1:70" s="14" customFormat="1" ht="13.2" x14ac:dyDescent="0.3">
      <c r="A6" s="37"/>
      <c r="B6" s="13"/>
      <c r="C6" s="61" t="s">
        <v>69</v>
      </c>
      <c r="E6" s="89">
        <f>V6</f>
        <v>271.64952057015273</v>
      </c>
      <c r="F6" s="89">
        <f>AH6</f>
        <v>286.09437602904143</v>
      </c>
      <c r="G6" s="89">
        <f>AT6</f>
        <v>301.3073309448713</v>
      </c>
      <c r="H6" s="89">
        <f>BF6</f>
        <v>317.32922870146319</v>
      </c>
      <c r="I6" s="89">
        <f>BR6</f>
        <v>334.20308451336632</v>
      </c>
      <c r="J6" s="88"/>
      <c r="K6" s="90">
        <f>Cash!K14</f>
        <v>259.04999999999995</v>
      </c>
      <c r="L6" s="91">
        <f>Cash!L14</f>
        <v>260.17084536860955</v>
      </c>
      <c r="M6" s="91">
        <f>Cash!M14</f>
        <v>261.29654035829753</v>
      </c>
      <c r="N6" s="91">
        <f>Cash!N14</f>
        <v>262.42710595217636</v>
      </c>
      <c r="O6" s="91">
        <f>Cash!O14</f>
        <v>263.56256322414765</v>
      </c>
      <c r="P6" s="91">
        <f>Cash!P14</f>
        <v>264.70293333929408</v>
      </c>
      <c r="Q6" s="91">
        <f>Cash!Q14</f>
        <v>265.84823755427465</v>
      </c>
      <c r="R6" s="91">
        <f>Cash!R14</f>
        <v>266.99849721772091</v>
      </c>
      <c r="S6" s="91">
        <f>Cash!S14</f>
        <v>268.1537337706344</v>
      </c>
      <c r="T6" s="91">
        <f>Cash!T14</f>
        <v>269.3139687467866</v>
      </c>
      <c r="U6" s="91">
        <f>Cash!U14</f>
        <v>270.47922377312028</v>
      </c>
      <c r="V6" s="89">
        <f>Cash!V14</f>
        <v>271.64952057015273</v>
      </c>
      <c r="W6" s="90">
        <f>Cash!W14</f>
        <v>272.82488095238051</v>
      </c>
      <c r="X6" s="91">
        <f>Cash!X14</f>
        <v>274.00532682868607</v>
      </c>
      <c r="Y6" s="91">
        <f>Cash!Y14</f>
        <v>275.19088020274648</v>
      </c>
      <c r="Z6" s="91">
        <f>Cash!Z14</f>
        <v>276.38156317344271</v>
      </c>
      <c r="AA6" s="91">
        <f>Cash!AA14</f>
        <v>277.57739793527281</v>
      </c>
      <c r="AB6" s="91">
        <f>Cash!AB14</f>
        <v>278.77840677876424</v>
      </c>
      <c r="AC6" s="91">
        <f>Cash!AC14</f>
        <v>279.98461209089061</v>
      </c>
      <c r="AD6" s="91">
        <f>Cash!AD14</f>
        <v>281.19603635548845</v>
      </c>
      <c r="AE6" s="91">
        <f>Cash!AE14</f>
        <v>282.41270215367581</v>
      </c>
      <c r="AF6" s="91">
        <f>Cash!AF14</f>
        <v>283.63463216427419</v>
      </c>
      <c r="AG6" s="91">
        <f>Cash!AG14</f>
        <v>284.86184916423031</v>
      </c>
      <c r="AH6" s="89">
        <f>Cash!AH14</f>
        <v>286.09437602904143</v>
      </c>
      <c r="AI6" s="90">
        <f>Cash!AI14</f>
        <v>287.33223573318128</v>
      </c>
      <c r="AJ6" s="91">
        <f>Cash!AJ14</f>
        <v>288.57545135052862</v>
      </c>
      <c r="AK6" s="91">
        <f>Cash!AK14</f>
        <v>289.82404605479678</v>
      </c>
      <c r="AL6" s="91">
        <f>Cash!AL14</f>
        <v>291.07804311996676</v>
      </c>
      <c r="AM6" s="91">
        <f>Cash!AM14</f>
        <v>292.33746592071952</v>
      </c>
      <c r="AN6" s="91">
        <f>Cash!AN14</f>
        <v>293.60233793287284</v>
      </c>
      <c r="AO6" s="91">
        <f>Cash!AO14</f>
        <v>294.87268273381881</v>
      </c>
      <c r="AP6" s="91">
        <f>Cash!AP14</f>
        <v>296.14852400296274</v>
      </c>
      <c r="AQ6" s="91">
        <f>Cash!AQ14</f>
        <v>297.4298855221648</v>
      </c>
      <c r="AR6" s="91">
        <f>Cash!AR14</f>
        <v>298.71679117618385</v>
      </c>
      <c r="AS6" s="91">
        <f>Cash!AS14</f>
        <v>300.00926495312183</v>
      </c>
      <c r="AT6" s="89">
        <f>Cash!AT14</f>
        <v>301.3073309448713</v>
      </c>
      <c r="AU6" s="90">
        <f>Cash!AU14</f>
        <v>302.61101334756461</v>
      </c>
      <c r="AV6" s="91">
        <f>Cash!AV14</f>
        <v>303.92033646202481</v>
      </c>
      <c r="AW6" s="91">
        <f>Cash!AW14</f>
        <v>305.23532469421855</v>
      </c>
      <c r="AX6" s="91">
        <f>Cash!AX14</f>
        <v>306.55600255571085</v>
      </c>
      <c r="AY6" s="91">
        <f>Cash!AY14</f>
        <v>307.88239466412267</v>
      </c>
      <c r="AZ6" s="91">
        <f>Cash!AZ14</f>
        <v>309.21452574358887</v>
      </c>
      <c r="BA6" s="91">
        <f>Cash!BA14</f>
        <v>310.55242062521995</v>
      </c>
      <c r="BB6" s="91">
        <f>Cash!BB14</f>
        <v>311.89610424756438</v>
      </c>
      <c r="BC6" s="91">
        <f>Cash!BC14</f>
        <v>313.24560165707328</v>
      </c>
      <c r="BD6" s="91">
        <f>Cash!BD14</f>
        <v>314.60093800856794</v>
      </c>
      <c r="BE6" s="91">
        <f>Cash!BE14</f>
        <v>315.96213856570807</v>
      </c>
      <c r="BF6" s="89">
        <f>Cash!BF14</f>
        <v>317.32922870146319</v>
      </c>
      <c r="BG6" s="90">
        <f>Cash!BG14</f>
        <v>318.7022338985854</v>
      </c>
      <c r="BH6" s="91">
        <f>Cash!BH14</f>
        <v>320.08117975008429</v>
      </c>
      <c r="BI6" s="91">
        <f>Cash!BI14</f>
        <v>321.46609195970416</v>
      </c>
      <c r="BJ6" s="91">
        <f>Cash!BJ14</f>
        <v>322.85699634240291</v>
      </c>
      <c r="BK6" s="91">
        <f>Cash!BK14</f>
        <v>324.25391882483348</v>
      </c>
      <c r="BL6" s="91">
        <f>Cash!BL14</f>
        <v>325.6568854458269</v>
      </c>
      <c r="BM6" s="91">
        <f>Cash!BM14</f>
        <v>327.06592235687822</v>
      </c>
      <c r="BN6" s="91">
        <f>Cash!BN14</f>
        <v>328.48105582263304</v>
      </c>
      <c r="BO6" s="91">
        <f>Cash!BO14</f>
        <v>329.90231222137766</v>
      </c>
      <c r="BP6" s="91">
        <f>Cash!BP14</f>
        <v>331.32971804553119</v>
      </c>
      <c r="BQ6" s="91">
        <f>Cash!BQ14</f>
        <v>332.76329990213833</v>
      </c>
      <c r="BR6" s="89">
        <f>Cash!BR14</f>
        <v>334.20308451336632</v>
      </c>
    </row>
    <row r="7" spans="1:70" s="14" customFormat="1" ht="13.2" x14ac:dyDescent="0.3">
      <c r="A7" s="13"/>
      <c r="B7" s="13"/>
      <c r="C7" s="61" t="s">
        <v>70</v>
      </c>
      <c r="E7" s="89">
        <f>V7</f>
        <v>27.508380808170429</v>
      </c>
      <c r="F7" s="89">
        <f>AH7</f>
        <v>28.971128041620744</v>
      </c>
      <c r="G7" s="89">
        <f>AT7</f>
        <v>30.511656278754565</v>
      </c>
      <c r="H7" s="89">
        <f>BF7</f>
        <v>32.134101493577219</v>
      </c>
      <c r="I7" s="89">
        <f>BR7</f>
        <v>33.842819588870611</v>
      </c>
      <c r="J7" s="88"/>
      <c r="K7" s="97">
        <f>Cash!K29</f>
        <v>26.232499999999998</v>
      </c>
      <c r="L7" s="97">
        <f>Cash!L29</f>
        <v>26.346001548473474</v>
      </c>
      <c r="M7" s="97">
        <f>Cash!M29</f>
        <v>26.459994190114049</v>
      </c>
      <c r="N7" s="97">
        <f>Cash!N29</f>
        <v>26.57448004976057</v>
      </c>
      <c r="O7" s="97">
        <f>Cash!O29</f>
        <v>26.689461261445519</v>
      </c>
      <c r="P7" s="97">
        <f>Cash!P29</f>
        <v>26.804939968434827</v>
      </c>
      <c r="Q7" s="97">
        <f>Cash!Q29</f>
        <v>26.920918323267802</v>
      </c>
      <c r="R7" s="97">
        <f>Cash!R29</f>
        <v>27.037398487797265</v>
      </c>
      <c r="S7" s="97">
        <f>Cash!S29</f>
        <v>27.154382633229819</v>
      </c>
      <c r="T7" s="97">
        <f>Cash!T29</f>
        <v>27.271872940166361</v>
      </c>
      <c r="U7" s="97">
        <f>Cash!U29</f>
        <v>27.389871598642717</v>
      </c>
      <c r="V7" s="89">
        <f>Cash!V29</f>
        <v>27.508380808170429</v>
      </c>
      <c r="W7" s="97">
        <f>Cash!W29</f>
        <v>27.627402777777807</v>
      </c>
      <c r="X7" s="97">
        <f>Cash!X29</f>
        <v>27.746939726051071</v>
      </c>
      <c r="Y7" s="97">
        <f>Cash!Y29</f>
        <v>27.866993881175706</v>
      </c>
      <c r="Z7" s="97">
        <f>Cash!Z29</f>
        <v>27.987567480978029</v>
      </c>
      <c r="AA7" s="97">
        <f>Cash!AA29</f>
        <v>28.108662772966856</v>
      </c>
      <c r="AB7" s="97">
        <f>Cash!AB29</f>
        <v>28.230282014375423</v>
      </c>
      <c r="AC7" s="97">
        <f>Cash!AC29</f>
        <v>28.352427472203477</v>
      </c>
      <c r="AD7" s="97">
        <f>Cash!AD29</f>
        <v>28.475101423259495</v>
      </c>
      <c r="AE7" s="97">
        <f>Cash!AE29</f>
        <v>28.598306154203133</v>
      </c>
      <c r="AF7" s="97">
        <f>Cash!AF29</f>
        <v>28.7220439615879</v>
      </c>
      <c r="AG7" s="97">
        <f>Cash!AG29</f>
        <v>28.846317151903861</v>
      </c>
      <c r="AH7" s="89">
        <f>Cash!AH29</f>
        <v>28.971128041620744</v>
      </c>
      <c r="AI7" s="97">
        <f>Cash!AI29</f>
        <v>29.096478957231049</v>
      </c>
      <c r="AJ7" s="97">
        <f>Cash!AJ29</f>
        <v>29.222372235293442</v>
      </c>
      <c r="AK7" s="97">
        <f>Cash!AK29</f>
        <v>29.348810222476292</v>
      </c>
      <c r="AL7" s="97">
        <f>Cash!AL29</f>
        <v>29.475795275601445</v>
      </c>
      <c r="AM7" s="97">
        <f>Cash!AM29</f>
        <v>29.603329761688098</v>
      </c>
      <c r="AN7" s="97">
        <f>Cash!AN29</f>
        <v>29.731416057996977</v>
      </c>
      <c r="AO7" s="97">
        <f>Cash!AO29</f>
        <v>29.860056552074621</v>
      </c>
      <c r="AP7" s="97">
        <f>Cash!AP29</f>
        <v>29.989253641797902</v>
      </c>
      <c r="AQ7" s="97">
        <f>Cash!AQ29</f>
        <v>30.119009735418718</v>
      </c>
      <c r="AR7" s="97">
        <f>Cash!AR29</f>
        <v>30.249327251608854</v>
      </c>
      <c r="AS7" s="97">
        <f>Cash!AS29</f>
        <v>30.380208619505112</v>
      </c>
      <c r="AT7" s="89">
        <f>Cash!AT29</f>
        <v>30.511656278754565</v>
      </c>
      <c r="AU7" s="97">
        <f>Cash!AU29</f>
        <v>30.643672679560023</v>
      </c>
      <c r="AV7" s="97">
        <f>Cash!AV29</f>
        <v>30.776260282725737</v>
      </c>
      <c r="AW7" s="97">
        <f>Cash!AW29</f>
        <v>30.90942155970324</v>
      </c>
      <c r="AX7" s="97">
        <f>Cash!AX29</f>
        <v>31.043158992637419</v>
      </c>
      <c r="AY7" s="97">
        <f>Cash!AY29</f>
        <v>31.177475074412801</v>
      </c>
      <c r="AZ7" s="97">
        <f>Cash!AZ29</f>
        <v>31.312372308699992</v>
      </c>
      <c r="BA7" s="97">
        <f>Cash!BA29</f>
        <v>31.447853210002407</v>
      </c>
      <c r="BB7" s="97">
        <f>Cash!BB29</f>
        <v>31.583920303703035</v>
      </c>
      <c r="BC7" s="97">
        <f>Cash!BC29</f>
        <v>31.720576126111624</v>
      </c>
      <c r="BD7" s="97">
        <f>Cash!BD29</f>
        <v>31.857823224511865</v>
      </c>
      <c r="BE7" s="97">
        <f>Cash!BE29</f>
        <v>31.99566415720895</v>
      </c>
      <c r="BF7" s="89">
        <f>Cash!BF29</f>
        <v>32.134101493577219</v>
      </c>
      <c r="BG7" s="97">
        <f>Cash!BG29</f>
        <v>32.273137814108026</v>
      </c>
      <c r="BH7" s="97">
        <f>Cash!BH29</f>
        <v>32.412775710457936</v>
      </c>
      <c r="BI7" s="97">
        <f>Cash!BI29</f>
        <v>32.553017785496934</v>
      </c>
      <c r="BJ7" s="97">
        <f>Cash!BJ29</f>
        <v>32.693866653356991</v>
      </c>
      <c r="BK7" s="97">
        <f>Cash!BK29</f>
        <v>32.835324939480749</v>
      </c>
      <c r="BL7" s="97">
        <f>Cash!BL29</f>
        <v>32.977395280670528</v>
      </c>
      <c r="BM7" s="97">
        <f>Cash!BM29</f>
        <v>33.12008032513743</v>
      </c>
      <c r="BN7" s="97">
        <f>Cash!BN29</f>
        <v>33.263382732550717</v>
      </c>
      <c r="BO7" s="97">
        <f>Cash!BO29</f>
        <v>33.407305174087384</v>
      </c>
      <c r="BP7" s="97">
        <f>Cash!BP29</f>
        <v>33.551850332481941</v>
      </c>
      <c r="BQ7" s="97">
        <f>Cash!BQ29</f>
        <v>33.697020902076403</v>
      </c>
      <c r="BR7" s="89">
        <f>Cash!BR29</f>
        <v>33.842819588870611</v>
      </c>
    </row>
    <row r="8" spans="1:70" s="14" customFormat="1" ht="13.2" x14ac:dyDescent="0.3">
      <c r="A8" s="13"/>
      <c r="B8" s="5"/>
      <c r="C8" s="52" t="s">
        <v>174</v>
      </c>
      <c r="E8" s="93">
        <f>V8</f>
        <v>109.41140405635976</v>
      </c>
      <c r="F8" s="93">
        <f>AH8</f>
        <v>122.14307077282285</v>
      </c>
      <c r="G8" s="93">
        <f>AT8</f>
        <v>136.35625889719688</v>
      </c>
      <c r="H8" s="93">
        <f>BF8</f>
        <v>152.22336578569451</v>
      </c>
      <c r="I8" s="93">
        <f>BR8</f>
        <v>169.93684982656643</v>
      </c>
      <c r="J8" s="88"/>
      <c r="K8" s="94">
        <f>OtherCA*Income!K6*(1+OtherCAcagr)^((K$3-1)/12)</f>
        <v>98.91</v>
      </c>
      <c r="L8" s="94">
        <f>OtherCA*Income!L6*(1+OtherCAcagr)^((L$3-1)/12)</f>
        <v>99.821491679917429</v>
      </c>
      <c r="M8" s="94">
        <f>OtherCA*Income!M6*(1+OtherCAcagr)^((M$3-1)/12)</f>
        <v>100.74138308769413</v>
      </c>
      <c r="N8" s="94">
        <f>OtherCA*Income!N6*(1+OtherCAcagr)^((N$3-1)/12)</f>
        <v>101.66975162988204</v>
      </c>
      <c r="O8" s="94">
        <f>OtherCA*Income!O6*(1+OtherCAcagr)^((O$3-1)/12)</f>
        <v>102.60667542636278</v>
      </c>
      <c r="P8" s="94">
        <f>OtherCA*Income!P6*(1+OtherCAcagr)^((P$3-1)/12)</f>
        <v>103.55223331692106</v>
      </c>
      <c r="Q8" s="94">
        <f>OtherCA*Income!Q6*(1+OtherCAcagr)^((Q$3-1)/12)</f>
        <v>104.5065048678789</v>
      </c>
      <c r="R8" s="94">
        <f>OtherCA*Income!R6*(1+OtherCAcagr)^((R$3-1)/12)</f>
        <v>105.46957037879109</v>
      </c>
      <c r="S8" s="94">
        <f>OtherCA*Income!S6*(1+OtherCAcagr)^((S$3-1)/12)</f>
        <v>106.44151088920191</v>
      </c>
      <c r="T8" s="94">
        <f>OtherCA*Income!T6*(1+OtherCAcagr)^((T$3-1)/12)</f>
        <v>107.42240818546466</v>
      </c>
      <c r="U8" s="94">
        <f>OtherCA*Income!U6*(1+OtherCAcagr)^((U$3-1)/12)</f>
        <v>108.41234480762365</v>
      </c>
      <c r="V8" s="93">
        <f>OtherCA*Income!V6*(1+OtherCAcagr)^((V$3-1)/12)</f>
        <v>109.41140405635976</v>
      </c>
      <c r="W8" s="94">
        <f>OtherCA*Income!W6*(1+OtherCAcagr)^((W$3-1)/12)</f>
        <v>110.41967000000001</v>
      </c>
      <c r="X8" s="94">
        <f>OtherCA*Income!X6*(1+OtherCAcagr)^((X$3-1)/12)</f>
        <v>111.43722748159163</v>
      </c>
      <c r="Y8" s="94">
        <f>OtherCA*Income!Y6*(1+OtherCAcagr)^((Y$3-1)/12)</f>
        <v>112.46416212604154</v>
      </c>
      <c r="Z8" s="94">
        <f>OtherCA*Income!Z6*(1+OtherCAcagr)^((Z$3-1)/12)</f>
        <v>113.50056034732118</v>
      </c>
      <c r="AA8" s="94">
        <f>OtherCA*Income!AA6*(1+OtherCAcagr)^((AA$3-1)/12)</f>
        <v>114.54650935573845</v>
      </c>
      <c r="AB8" s="94">
        <f>OtherCA*Income!AB6*(1+OtherCAcagr)^((AB$3-1)/12)</f>
        <v>115.60209716527579</v>
      </c>
      <c r="AC8" s="94">
        <f>OtherCA*Income!AC6*(1+OtherCAcagr)^((AC$3-1)/12)</f>
        <v>116.66741260099671</v>
      </c>
      <c r="AD8" s="94">
        <f>OtherCA*Income!AD6*(1+OtherCAcagr)^((AD$3-1)/12)</f>
        <v>117.74254530651997</v>
      </c>
      <c r="AE8" s="94">
        <f>OtherCA*Income!AE6*(1+OtherCAcagr)^((AE$3-1)/12)</f>
        <v>118.82758575156284</v>
      </c>
      <c r="AF8" s="94">
        <f>OtherCA*Income!AF6*(1+OtherCAcagr)^((AF$3-1)/12)</f>
        <v>119.92262523955424</v>
      </c>
      <c r="AG8" s="94">
        <f>OtherCA*Income!AG6*(1+OtherCAcagr)^((AG$3-1)/12)</f>
        <v>121.02775591531714</v>
      </c>
      <c r="AH8" s="93">
        <f>OtherCA*Income!AH6*(1+OtherCAcagr)^((AH$3-1)/12)</f>
        <v>122.14307077282285</v>
      </c>
      <c r="AI8" s="94">
        <f>OtherCA*Income!AI6*(1+OtherCAcagr)^((AI$3-1)/12)</f>
        <v>123.2686636630159</v>
      </c>
      <c r="AJ8" s="94">
        <f>OtherCA*Income!AJ6*(1+OtherCAcagr)^((AJ$3-1)/12)</f>
        <v>124.40462930171148</v>
      </c>
      <c r="AK8" s="94">
        <f>OtherCA*Income!AK6*(1+OtherCAcagr)^((AK$3-1)/12)</f>
        <v>125.55106327756546</v>
      </c>
      <c r="AL8" s="94">
        <f>OtherCA*Income!AL6*(1+OtherCAcagr)^((AL$3-1)/12)</f>
        <v>126.70806206011822</v>
      </c>
      <c r="AM8" s="94">
        <f>OtherCA*Income!AM6*(1+OtherCAcagr)^((AM$3-1)/12)</f>
        <v>127.87572300791179</v>
      </c>
      <c r="AN8" s="94">
        <f>OtherCA*Income!AN6*(1+OtherCAcagr)^((AN$3-1)/12)</f>
        <v>129.05414437668276</v>
      </c>
      <c r="AO8" s="94">
        <f>OtherCA*Income!AO6*(1+OtherCAcagr)^((AO$3-1)/12)</f>
        <v>130.24342532763018</v>
      </c>
      <c r="AP8" s="94">
        <f>OtherCA*Income!AP6*(1+OtherCAcagr)^((AP$3-1)/12)</f>
        <v>131.44366593575964</v>
      </c>
      <c r="AQ8" s="94">
        <f>OtherCA*Income!AQ6*(1+OtherCAcagr)^((AQ$3-1)/12)</f>
        <v>132.65496719830423</v>
      </c>
      <c r="AR8" s="94">
        <f>OtherCA*Income!AR6*(1+OtherCAcagr)^((AR$3-1)/12)</f>
        <v>133.87743104322362</v>
      </c>
      <c r="AS8" s="94">
        <f>OtherCA*Income!AS6*(1+OtherCAcagr)^((AS$3-1)/12)</f>
        <v>135.11116033778046</v>
      </c>
      <c r="AT8" s="93">
        <f>OtherCA*Income!AT6*(1+OtherCAcagr)^((AT$3-1)/12)</f>
        <v>136.35625889719688</v>
      </c>
      <c r="AU8" s="94">
        <f>OtherCA*Income!AU6*(1+OtherCAcagr)^((AU$3-1)/12)</f>
        <v>137.61283149339002</v>
      </c>
      <c r="AV8" s="94">
        <f>OtherCA*Income!AV6*(1+OtherCAcagr)^((AV$3-1)/12)</f>
        <v>138.8809838637884</v>
      </c>
      <c r="AW8" s="94">
        <f>OtherCA*Income!AW6*(1+OtherCAcagr)^((AW$3-1)/12)</f>
        <v>140.16082272022956</v>
      </c>
      <c r="AX8" s="94">
        <f>OtherCA*Income!AX6*(1+OtherCAcagr)^((AX$3-1)/12)</f>
        <v>141.45245575793928</v>
      </c>
      <c r="AY8" s="94">
        <f>OtherCA*Income!AY6*(1+OtherCAcagr)^((AY$3-1)/12)</f>
        <v>142.75599166459435</v>
      </c>
      <c r="AZ8" s="94">
        <f>OtherCA*Income!AZ6*(1+OtherCAcagr)^((AZ$3-1)/12)</f>
        <v>144.07154012946782</v>
      </c>
      <c r="BA8" s="94">
        <f>OtherCA*Income!BA6*(1+OtherCAcagr)^((BA$3-1)/12)</f>
        <v>145.39921185265965</v>
      </c>
      <c r="BB8" s="94">
        <f>OtherCA*Income!BB6*(1+OtherCAcagr)^((BB$3-1)/12)</f>
        <v>146.73911855441131</v>
      </c>
      <c r="BC8" s="94">
        <f>OtherCA*Income!BC6*(1+OtherCAcagr)^((BC$3-1)/12)</f>
        <v>148.09137298450693</v>
      </c>
      <c r="BD8" s="94">
        <f>OtherCA*Income!BD6*(1+OtherCAcagr)^((BD$3-1)/12)</f>
        <v>149.45608893176131</v>
      </c>
      <c r="BE8" s="94">
        <f>OtherCA*Income!BE6*(1+OtherCAcagr)^((BE$3-1)/12)</f>
        <v>150.83338123359431</v>
      </c>
      <c r="BF8" s="93">
        <f>OtherCA*Income!BF6*(1+OtherCAcagr)^((BF$3-1)/12)</f>
        <v>152.22336578569451</v>
      </c>
      <c r="BG8" s="94">
        <f>OtherCA*Income!BG6*(1+OtherCAcagr)^((BG$3-1)/12)</f>
        <v>153.62615955177165</v>
      </c>
      <c r="BH8" s="94">
        <f>OtherCA*Income!BH6*(1+OtherCAcagr)^((BH$3-1)/12)</f>
        <v>155.04188057339846</v>
      </c>
      <c r="BI8" s="94">
        <f>OtherCA*Income!BI6*(1+OtherCAcagr)^((BI$3-1)/12)</f>
        <v>156.47064797994386</v>
      </c>
      <c r="BJ8" s="94">
        <f>OtherCA*Income!BJ6*(1+OtherCAcagr)^((BJ$3-1)/12)</f>
        <v>157.91258199859729</v>
      </c>
      <c r="BK8" s="94">
        <f>OtherCA*Income!BK6*(1+OtherCAcagr)^((BK$3-1)/12)</f>
        <v>159.36780396448549</v>
      </c>
      <c r="BL8" s="94">
        <f>OtherCA*Income!BL6*(1+OtherCAcagr)^((BL$3-1)/12)</f>
        <v>160.83643633088258</v>
      </c>
      <c r="BM8" s="94">
        <f>OtherCA*Income!BM6*(1+OtherCAcagr)^((BM$3-1)/12)</f>
        <v>162.31860267951441</v>
      </c>
      <c r="BN8" s="94">
        <f>OtherCA*Income!BN6*(1+OtherCAcagr)^((BN$3-1)/12)</f>
        <v>163.81442773095716</v>
      </c>
      <c r="BO8" s="94">
        <f>OtherCA*Income!BO6*(1+OtherCAcagr)^((BO$3-1)/12)</f>
        <v>165.3240373551327</v>
      </c>
      <c r="BP8" s="94">
        <f>OtherCA*Income!BP6*(1+OtherCAcagr)^((BP$3-1)/12)</f>
        <v>166.8475585819001</v>
      </c>
      <c r="BQ8" s="94">
        <f>OtherCA*Income!BQ6*(1+OtherCAcagr)^((BQ$3-1)/12)</f>
        <v>168.38511961174476</v>
      </c>
      <c r="BR8" s="93">
        <f>OtherCA*Income!BR6*(1+OtherCAcagr)^((BR$3-1)/12)</f>
        <v>169.93684982656643</v>
      </c>
    </row>
    <row r="9" spans="1:70" ht="13.2" x14ac:dyDescent="0.3">
      <c r="A9" s="13"/>
      <c r="C9" s="56" t="s">
        <v>76</v>
      </c>
      <c r="D9" s="14"/>
      <c r="E9" s="95">
        <f ca="1">V9</f>
        <v>675.83268335215314</v>
      </c>
      <c r="F9" s="95">
        <f ca="1">AH9</f>
        <v>1194.6345300065523</v>
      </c>
      <c r="G9" s="95">
        <f ca="1">AT9</f>
        <v>1638.0715365993938</v>
      </c>
      <c r="H9" s="95">
        <f ca="1">BF9</f>
        <v>2122.2109850642064</v>
      </c>
      <c r="I9" s="95">
        <f ca="1">BR9</f>
        <v>2649.5638776765886</v>
      </c>
      <c r="J9" s="16"/>
      <c r="K9" s="97">
        <f ca="1">SUM(K5:K8)</f>
        <v>434.1158333333334</v>
      </c>
      <c r="L9" s="97">
        <f t="shared" ref="L9:BR9" ca="1" si="0">SUM(L5:L8)</f>
        <v>464.26400059405819</v>
      </c>
      <c r="M9" s="97">
        <f t="shared" ca="1" si="0"/>
        <v>444.65027005920842</v>
      </c>
      <c r="N9" s="97">
        <f t="shared" ca="1" si="0"/>
        <v>475.27585283201512</v>
      </c>
      <c r="O9" s="97">
        <f t="shared" ca="1" si="0"/>
        <v>506.14196561897791</v>
      </c>
      <c r="P9" s="97">
        <f t="shared" ca="1" si="0"/>
        <v>467.95166977113718</v>
      </c>
      <c r="Q9" s="97">
        <f t="shared" ca="1" si="0"/>
        <v>502.03715810161981</v>
      </c>
      <c r="R9" s="97">
        <f t="shared" ca="1" si="0"/>
        <v>536.36686043668726</v>
      </c>
      <c r="S9" s="97">
        <f t="shared" ca="1" si="0"/>
        <v>570.94201614778831</v>
      </c>
      <c r="T9" s="97">
        <f t="shared" ca="1" si="0"/>
        <v>605.76387033613503</v>
      </c>
      <c r="U9" s="97">
        <f t="shared" ca="1" si="0"/>
        <v>640.67367385833768</v>
      </c>
      <c r="V9" s="95">
        <f t="shared" ca="1" si="0"/>
        <v>675.83268335215314</v>
      </c>
      <c r="W9" s="97">
        <f t="shared" ca="1" si="0"/>
        <v>804.73187119997203</v>
      </c>
      <c r="X9" s="97">
        <f t="shared" ca="1" si="0"/>
        <v>840.19183580428967</v>
      </c>
      <c r="Y9" s="97">
        <f t="shared" ca="1" si="0"/>
        <v>875.90481123955419</v>
      </c>
      <c r="Z9" s="97">
        <f t="shared" ca="1" si="0"/>
        <v>911.87207752786662</v>
      </c>
      <c r="AA9" s="97">
        <f t="shared" ca="1" si="0"/>
        <v>948.09492060292814</v>
      </c>
      <c r="AB9" s="97">
        <f t="shared" ca="1" si="0"/>
        <v>984.57463233647718</v>
      </c>
      <c r="AC9" s="97">
        <f t="shared" ca="1" si="0"/>
        <v>1021.312510564843</v>
      </c>
      <c r="AD9" s="97">
        <f t="shared" ca="1" si="0"/>
        <v>1055.452716258475</v>
      </c>
      <c r="AE9" s="97">
        <f t="shared" ca="1" si="0"/>
        <v>1089.8537021201571</v>
      </c>
      <c r="AF9" s="97">
        <f t="shared" ca="1" si="0"/>
        <v>1124.5167840404888</v>
      </c>
      <c r="AG9" s="97">
        <f t="shared" ca="1" si="0"/>
        <v>1159.4432839820511</v>
      </c>
      <c r="AH9" s="95">
        <f t="shared" ca="1" si="0"/>
        <v>1194.6345300065523</v>
      </c>
      <c r="AI9" s="97">
        <f t="shared" ca="1" si="0"/>
        <v>1230.0918563020923</v>
      </c>
      <c r="AJ9" s="97">
        <f t="shared" ca="1" si="0"/>
        <v>1265.8166032105469</v>
      </c>
      <c r="AK9" s="97">
        <f t="shared" ca="1" si="0"/>
        <v>1301.8101172550712</v>
      </c>
      <c r="AL9" s="97">
        <f t="shared" ca="1" si="0"/>
        <v>1338.0737511677314</v>
      </c>
      <c r="AM9" s="97">
        <f t="shared" ca="1" si="0"/>
        <v>1374.6088639172467</v>
      </c>
      <c r="AN9" s="97">
        <f t="shared" ca="1" si="0"/>
        <v>1411.4168207368648</v>
      </c>
      <c r="AO9" s="97">
        <f t="shared" ca="1" si="0"/>
        <v>1448.4989931523537</v>
      </c>
      <c r="AP9" s="97">
        <f t="shared" ca="1" si="0"/>
        <v>1485.8567590101195</v>
      </c>
      <c r="AQ9" s="97">
        <f t="shared" ca="1" si="0"/>
        <v>1523.4915025054474</v>
      </c>
      <c r="AR9" s="97">
        <f t="shared" ca="1" si="0"/>
        <v>1561.4046142108666</v>
      </c>
      <c r="AS9" s="97">
        <f t="shared" ca="1" si="0"/>
        <v>1599.5974911046433</v>
      </c>
      <c r="AT9" s="95">
        <f t="shared" ca="1" si="0"/>
        <v>1638.0715365993938</v>
      </c>
      <c r="AU9" s="97">
        <f t="shared" ca="1" si="0"/>
        <v>1676.8281605708301</v>
      </c>
      <c r="AV9" s="97">
        <f t="shared" ca="1" si="0"/>
        <v>1715.8687793866275</v>
      </c>
      <c r="AW9" s="97">
        <f t="shared" ca="1" si="0"/>
        <v>1755.1948159354224</v>
      </c>
      <c r="AX9" s="97">
        <f t="shared" ca="1" si="0"/>
        <v>1794.8076996559346</v>
      </c>
      <c r="AY9" s="97">
        <f t="shared" ca="1" si="0"/>
        <v>1834.7088665662232</v>
      </c>
      <c r="AZ9" s="97">
        <f t="shared" ca="1" si="0"/>
        <v>1874.8997592930655</v>
      </c>
      <c r="BA9" s="97">
        <f t="shared" ca="1" si="0"/>
        <v>1915.38182710147</v>
      </c>
      <c r="BB9" s="97">
        <f t="shared" ca="1" si="0"/>
        <v>1956.1565259243182</v>
      </c>
      <c r="BC9" s="97">
        <f t="shared" ca="1" si="0"/>
        <v>1997.2253183921348</v>
      </c>
      <c r="BD9" s="97">
        <f t="shared" ca="1" si="0"/>
        <v>2038.5896738629926</v>
      </c>
      <c r="BE9" s="97">
        <f t="shared" ca="1" si="0"/>
        <v>2080.2510684525478</v>
      </c>
      <c r="BF9" s="95">
        <f t="shared" ca="1" si="0"/>
        <v>2122.2109850642064</v>
      </c>
      <c r="BG9" s="97">
        <f t="shared" ca="1" si="0"/>
        <v>2164.4709134194259</v>
      </c>
      <c r="BH9" s="97">
        <f t="shared" ca="1" si="0"/>
        <v>2207.0323500881491</v>
      </c>
      <c r="BI9" s="97">
        <f t="shared" ca="1" si="0"/>
        <v>2249.8967985193717</v>
      </c>
      <c r="BJ9" s="97">
        <f t="shared" ca="1" si="0"/>
        <v>2293.0657690718458</v>
      </c>
      <c r="BK9" s="97">
        <f t="shared" ca="1" si="0"/>
        <v>2336.5407790449185</v>
      </c>
      <c r="BL9" s="97">
        <f t="shared" ca="1" si="0"/>
        <v>2380.3233527095053</v>
      </c>
      <c r="BM9" s="97">
        <f t="shared" ca="1" si="0"/>
        <v>2424.4150213392022</v>
      </c>
      <c r="BN9" s="97">
        <f t="shared" ca="1" si="0"/>
        <v>2468.8173232415334</v>
      </c>
      <c r="BO9" s="97">
        <f t="shared" ca="1" si="0"/>
        <v>2513.5318037893335</v>
      </c>
      <c r="BP9" s="97">
        <f t="shared" ca="1" si="0"/>
        <v>2558.5600154522772</v>
      </c>
      <c r="BQ9" s="97">
        <f t="shared" ca="1" si="0"/>
        <v>2603.9035178285371</v>
      </c>
      <c r="BR9" s="95">
        <f t="shared" ca="1" si="0"/>
        <v>2649.5638776765886</v>
      </c>
    </row>
    <row r="10" spans="1:70" s="14" customFormat="1" ht="13.2" x14ac:dyDescent="0.3">
      <c r="A10" s="13"/>
      <c r="B10" s="13"/>
      <c r="C10" s="61" t="s">
        <v>77</v>
      </c>
      <c r="E10" s="89">
        <f t="shared" ref="E10:E18" si="1">V10</f>
        <v>0</v>
      </c>
      <c r="F10" s="89">
        <f t="shared" ref="F10:F18" si="2">AH10</f>
        <v>0</v>
      </c>
      <c r="G10" s="89">
        <f t="shared" ref="G10:G18" si="3">AT10</f>
        <v>0</v>
      </c>
      <c r="H10" s="89">
        <f t="shared" ref="H10:H18" si="4">BF10</f>
        <v>0</v>
      </c>
      <c r="I10" s="89">
        <f t="shared" ref="I10:I18" si="5">BR10</f>
        <v>0</v>
      </c>
      <c r="J10" s="88"/>
      <c r="K10" s="90">
        <f>CapEx!K29</f>
        <v>0</v>
      </c>
      <c r="L10" s="91">
        <f>CapEx!L29</f>
        <v>0</v>
      </c>
      <c r="M10" s="91">
        <f>CapEx!M29</f>
        <v>0</v>
      </c>
      <c r="N10" s="91">
        <f>CapEx!N29</f>
        <v>0</v>
      </c>
      <c r="O10" s="91">
        <f>CapEx!O29</f>
        <v>0</v>
      </c>
      <c r="P10" s="91">
        <f>CapEx!P29</f>
        <v>0</v>
      </c>
      <c r="Q10" s="91">
        <f>CapEx!Q29</f>
        <v>0</v>
      </c>
      <c r="R10" s="91">
        <f>CapEx!R29</f>
        <v>0</v>
      </c>
      <c r="S10" s="91">
        <f>CapEx!S29</f>
        <v>0</v>
      </c>
      <c r="T10" s="91">
        <f>CapEx!T29</f>
        <v>0</v>
      </c>
      <c r="U10" s="91">
        <f>CapEx!U29</f>
        <v>0</v>
      </c>
      <c r="V10" s="89">
        <f>CapEx!V29</f>
        <v>0</v>
      </c>
      <c r="W10" s="90">
        <f>CapEx!W29</f>
        <v>0</v>
      </c>
      <c r="X10" s="91">
        <f>CapEx!X29</f>
        <v>0</v>
      </c>
      <c r="Y10" s="91">
        <f>CapEx!Y29</f>
        <v>0</v>
      </c>
      <c r="Z10" s="91">
        <f>CapEx!Z29</f>
        <v>0</v>
      </c>
      <c r="AA10" s="91">
        <f>CapEx!AA29</f>
        <v>0</v>
      </c>
      <c r="AB10" s="91">
        <f>CapEx!AB29</f>
        <v>0</v>
      </c>
      <c r="AC10" s="91">
        <f>CapEx!AC29</f>
        <v>0</v>
      </c>
      <c r="AD10" s="91">
        <f>CapEx!AD29</f>
        <v>0</v>
      </c>
      <c r="AE10" s="91">
        <f>CapEx!AE29</f>
        <v>0</v>
      </c>
      <c r="AF10" s="91">
        <f>CapEx!AF29</f>
        <v>0</v>
      </c>
      <c r="AG10" s="91">
        <f>CapEx!AG29</f>
        <v>0</v>
      </c>
      <c r="AH10" s="89">
        <f>CapEx!AH29</f>
        <v>0</v>
      </c>
      <c r="AI10" s="90">
        <f>CapEx!AI29</f>
        <v>0</v>
      </c>
      <c r="AJ10" s="91">
        <f>CapEx!AJ29</f>
        <v>0</v>
      </c>
      <c r="AK10" s="91">
        <f>CapEx!AK29</f>
        <v>0</v>
      </c>
      <c r="AL10" s="91">
        <f>CapEx!AL29</f>
        <v>0</v>
      </c>
      <c r="AM10" s="91">
        <f>CapEx!AM29</f>
        <v>0</v>
      </c>
      <c r="AN10" s="91">
        <f>CapEx!AN29</f>
        <v>0</v>
      </c>
      <c r="AO10" s="91">
        <f>CapEx!AO29</f>
        <v>0</v>
      </c>
      <c r="AP10" s="91">
        <f>CapEx!AP29</f>
        <v>0</v>
      </c>
      <c r="AQ10" s="91">
        <f>CapEx!AQ29</f>
        <v>0</v>
      </c>
      <c r="AR10" s="91">
        <f>CapEx!AR29</f>
        <v>0</v>
      </c>
      <c r="AS10" s="91">
        <f>CapEx!AS29</f>
        <v>0</v>
      </c>
      <c r="AT10" s="89">
        <f>CapEx!AT29</f>
        <v>0</v>
      </c>
      <c r="AU10" s="90">
        <f>CapEx!AU29</f>
        <v>0</v>
      </c>
      <c r="AV10" s="91">
        <f>CapEx!AV29</f>
        <v>0</v>
      </c>
      <c r="AW10" s="91">
        <f>CapEx!AW29</f>
        <v>0</v>
      </c>
      <c r="AX10" s="91">
        <f>CapEx!AX29</f>
        <v>0</v>
      </c>
      <c r="AY10" s="91">
        <f>CapEx!AY29</f>
        <v>0</v>
      </c>
      <c r="AZ10" s="91">
        <f>CapEx!AZ29</f>
        <v>0</v>
      </c>
      <c r="BA10" s="91">
        <f>CapEx!BA29</f>
        <v>0</v>
      </c>
      <c r="BB10" s="91">
        <f>CapEx!BB29</f>
        <v>0</v>
      </c>
      <c r="BC10" s="91">
        <f>CapEx!BC29</f>
        <v>0</v>
      </c>
      <c r="BD10" s="91">
        <f>CapEx!BD29</f>
        <v>0</v>
      </c>
      <c r="BE10" s="91">
        <f>CapEx!BE29</f>
        <v>0</v>
      </c>
      <c r="BF10" s="89">
        <f>CapEx!BF29</f>
        <v>0</v>
      </c>
      <c r="BG10" s="90">
        <f>CapEx!BG29</f>
        <v>0</v>
      </c>
      <c r="BH10" s="91">
        <f>CapEx!BH29</f>
        <v>0</v>
      </c>
      <c r="BI10" s="91">
        <f>CapEx!BI29</f>
        <v>0</v>
      </c>
      <c r="BJ10" s="91">
        <f>CapEx!BJ29</f>
        <v>0</v>
      </c>
      <c r="BK10" s="91">
        <f>CapEx!BK29</f>
        <v>0</v>
      </c>
      <c r="BL10" s="91">
        <f>CapEx!BL29</f>
        <v>0</v>
      </c>
      <c r="BM10" s="91">
        <f>CapEx!BM29</f>
        <v>0</v>
      </c>
      <c r="BN10" s="91">
        <f>CapEx!BN29</f>
        <v>0</v>
      </c>
      <c r="BO10" s="91">
        <f>CapEx!BO29</f>
        <v>0</v>
      </c>
      <c r="BP10" s="91">
        <f>CapEx!BP29</f>
        <v>0</v>
      </c>
      <c r="BQ10" s="91">
        <f>CapEx!BQ29</f>
        <v>0</v>
      </c>
      <c r="BR10" s="89">
        <f>CapEx!BR29</f>
        <v>0</v>
      </c>
    </row>
    <row r="11" spans="1:70" s="14" customFormat="1" ht="13.2" x14ac:dyDescent="0.3">
      <c r="A11" s="13"/>
      <c r="B11" s="13"/>
      <c r="C11" s="61" t="s">
        <v>78</v>
      </c>
      <c r="E11" s="89">
        <f t="shared" si="1"/>
        <v>0</v>
      </c>
      <c r="F11" s="89">
        <f t="shared" si="2"/>
        <v>0</v>
      </c>
      <c r="G11" s="89">
        <f t="shared" si="3"/>
        <v>0</v>
      </c>
      <c r="H11" s="89">
        <f t="shared" si="4"/>
        <v>0</v>
      </c>
      <c r="I11" s="89">
        <f t="shared" si="5"/>
        <v>0</v>
      </c>
      <c r="J11" s="88"/>
      <c r="K11" s="90">
        <f>CapEx!K30</f>
        <v>4</v>
      </c>
      <c r="L11" s="91">
        <f>CapEx!L30</f>
        <v>4</v>
      </c>
      <c r="M11" s="91">
        <f>CapEx!M30</f>
        <v>4</v>
      </c>
      <c r="N11" s="91">
        <f>CapEx!N30</f>
        <v>4</v>
      </c>
      <c r="O11" s="91">
        <f>CapEx!O30</f>
        <v>4</v>
      </c>
      <c r="P11" s="91">
        <f>CapEx!P30</f>
        <v>4</v>
      </c>
      <c r="Q11" s="91">
        <f>CapEx!Q30</f>
        <v>4</v>
      </c>
      <c r="R11" s="91">
        <f>CapEx!R30</f>
        <v>4</v>
      </c>
      <c r="S11" s="91">
        <f>CapEx!S30</f>
        <v>4</v>
      </c>
      <c r="T11" s="91">
        <f>CapEx!T30</f>
        <v>4</v>
      </c>
      <c r="U11" s="91">
        <f>CapEx!U30</f>
        <v>0</v>
      </c>
      <c r="V11" s="89">
        <f>CapEx!V30</f>
        <v>0</v>
      </c>
      <c r="W11" s="90">
        <f>CapEx!W30</f>
        <v>0</v>
      </c>
      <c r="X11" s="91">
        <f>CapEx!X30</f>
        <v>0</v>
      </c>
      <c r="Y11" s="91">
        <f>CapEx!Y30</f>
        <v>0</v>
      </c>
      <c r="Z11" s="91">
        <f>CapEx!Z30</f>
        <v>0</v>
      </c>
      <c r="AA11" s="91">
        <f>CapEx!AA30</f>
        <v>0</v>
      </c>
      <c r="AB11" s="91">
        <f>CapEx!AB30</f>
        <v>0</v>
      </c>
      <c r="AC11" s="91">
        <f>CapEx!AC30</f>
        <v>0</v>
      </c>
      <c r="AD11" s="91">
        <f>CapEx!AD30</f>
        <v>0</v>
      </c>
      <c r="AE11" s="91">
        <f>CapEx!AE30</f>
        <v>0</v>
      </c>
      <c r="AF11" s="91">
        <f>CapEx!AF30</f>
        <v>0</v>
      </c>
      <c r="AG11" s="91">
        <f>CapEx!AG30</f>
        <v>0</v>
      </c>
      <c r="AH11" s="89">
        <f>CapEx!AH30</f>
        <v>0</v>
      </c>
      <c r="AI11" s="90">
        <f>CapEx!AI30</f>
        <v>0</v>
      </c>
      <c r="AJ11" s="91">
        <f>CapEx!AJ30</f>
        <v>0</v>
      </c>
      <c r="AK11" s="91">
        <f>CapEx!AK30</f>
        <v>0</v>
      </c>
      <c r="AL11" s="91">
        <f>CapEx!AL30</f>
        <v>0</v>
      </c>
      <c r="AM11" s="91">
        <f>CapEx!AM30</f>
        <v>0</v>
      </c>
      <c r="AN11" s="91">
        <f>CapEx!AN30</f>
        <v>0</v>
      </c>
      <c r="AO11" s="91">
        <f>CapEx!AO30</f>
        <v>0</v>
      </c>
      <c r="AP11" s="91">
        <f>CapEx!AP30</f>
        <v>0</v>
      </c>
      <c r="AQ11" s="91">
        <f>CapEx!AQ30</f>
        <v>0</v>
      </c>
      <c r="AR11" s="91">
        <f>CapEx!AR30</f>
        <v>0</v>
      </c>
      <c r="AS11" s="91">
        <f>CapEx!AS30</f>
        <v>0</v>
      </c>
      <c r="AT11" s="89">
        <f>CapEx!AT30</f>
        <v>0</v>
      </c>
      <c r="AU11" s="90">
        <f>CapEx!AU30</f>
        <v>0</v>
      </c>
      <c r="AV11" s="91">
        <f>CapEx!AV30</f>
        <v>0</v>
      </c>
      <c r="AW11" s="91">
        <f>CapEx!AW30</f>
        <v>0</v>
      </c>
      <c r="AX11" s="91">
        <f>CapEx!AX30</f>
        <v>0</v>
      </c>
      <c r="AY11" s="91">
        <f>CapEx!AY30</f>
        <v>0</v>
      </c>
      <c r="AZ11" s="91">
        <f>CapEx!AZ30</f>
        <v>0</v>
      </c>
      <c r="BA11" s="91">
        <f>CapEx!BA30</f>
        <v>0</v>
      </c>
      <c r="BB11" s="91">
        <f>CapEx!BB30</f>
        <v>0</v>
      </c>
      <c r="BC11" s="91">
        <f>CapEx!BC30</f>
        <v>0</v>
      </c>
      <c r="BD11" s="91">
        <f>CapEx!BD30</f>
        <v>0</v>
      </c>
      <c r="BE11" s="91">
        <f>CapEx!BE30</f>
        <v>0</v>
      </c>
      <c r="BF11" s="89">
        <f>CapEx!BF30</f>
        <v>0</v>
      </c>
      <c r="BG11" s="90">
        <f>CapEx!BG30</f>
        <v>0</v>
      </c>
      <c r="BH11" s="91">
        <f>CapEx!BH30</f>
        <v>0</v>
      </c>
      <c r="BI11" s="91">
        <f>CapEx!BI30</f>
        <v>0</v>
      </c>
      <c r="BJ11" s="91">
        <f>CapEx!BJ30</f>
        <v>0</v>
      </c>
      <c r="BK11" s="91">
        <f>CapEx!BK30</f>
        <v>0</v>
      </c>
      <c r="BL11" s="91">
        <f>CapEx!BL30</f>
        <v>0</v>
      </c>
      <c r="BM11" s="91">
        <f>CapEx!BM30</f>
        <v>0</v>
      </c>
      <c r="BN11" s="91">
        <f>CapEx!BN30</f>
        <v>0</v>
      </c>
      <c r="BO11" s="91">
        <f>CapEx!BO30</f>
        <v>0</v>
      </c>
      <c r="BP11" s="91">
        <f>CapEx!BP30</f>
        <v>0</v>
      </c>
      <c r="BQ11" s="91">
        <f>CapEx!BQ30</f>
        <v>0</v>
      </c>
      <c r="BR11" s="89">
        <f>CapEx!BR30</f>
        <v>0</v>
      </c>
    </row>
    <row r="12" spans="1:70" s="14" customFormat="1" ht="13.2" x14ac:dyDescent="0.3">
      <c r="A12" s="13"/>
      <c r="B12" s="5"/>
      <c r="C12" s="61" t="s">
        <v>79</v>
      </c>
      <c r="E12" s="89">
        <f t="shared" si="1"/>
        <v>0</v>
      </c>
      <c r="F12" s="89">
        <f t="shared" si="2"/>
        <v>0</v>
      </c>
      <c r="G12" s="89">
        <f t="shared" si="3"/>
        <v>0</v>
      </c>
      <c r="H12" s="89">
        <f t="shared" si="4"/>
        <v>0</v>
      </c>
      <c r="I12" s="89">
        <f t="shared" si="5"/>
        <v>0</v>
      </c>
      <c r="J12" s="88"/>
      <c r="K12" s="90">
        <f>CapEx!K31</f>
        <v>0</v>
      </c>
      <c r="L12" s="91">
        <f>CapEx!L31</f>
        <v>0</v>
      </c>
      <c r="M12" s="91">
        <f>CapEx!M31</f>
        <v>0</v>
      </c>
      <c r="N12" s="91">
        <f>CapEx!N31</f>
        <v>0</v>
      </c>
      <c r="O12" s="91">
        <f>CapEx!O31</f>
        <v>0</v>
      </c>
      <c r="P12" s="91">
        <f>CapEx!P31</f>
        <v>0</v>
      </c>
      <c r="Q12" s="91">
        <f>CapEx!Q31</f>
        <v>0</v>
      </c>
      <c r="R12" s="91">
        <f>CapEx!R31</f>
        <v>0</v>
      </c>
      <c r="S12" s="91">
        <f>CapEx!S31</f>
        <v>0</v>
      </c>
      <c r="T12" s="91">
        <f>CapEx!T31</f>
        <v>0</v>
      </c>
      <c r="U12" s="91">
        <f>CapEx!U31</f>
        <v>0</v>
      </c>
      <c r="V12" s="89">
        <f>CapEx!V31</f>
        <v>0</v>
      </c>
      <c r="W12" s="90">
        <f>CapEx!W31</f>
        <v>0</v>
      </c>
      <c r="X12" s="91">
        <f>CapEx!X31</f>
        <v>0</v>
      </c>
      <c r="Y12" s="91">
        <f>CapEx!Y31</f>
        <v>0</v>
      </c>
      <c r="Z12" s="91">
        <f>CapEx!Z31</f>
        <v>0</v>
      </c>
      <c r="AA12" s="91">
        <f>CapEx!AA31</f>
        <v>0</v>
      </c>
      <c r="AB12" s="91">
        <f>CapEx!AB31</f>
        <v>0</v>
      </c>
      <c r="AC12" s="91">
        <f>CapEx!AC31</f>
        <v>0</v>
      </c>
      <c r="AD12" s="91">
        <f>CapEx!AD31</f>
        <v>0</v>
      </c>
      <c r="AE12" s="91">
        <f>CapEx!AE31</f>
        <v>0</v>
      </c>
      <c r="AF12" s="91">
        <f>CapEx!AF31</f>
        <v>0</v>
      </c>
      <c r="AG12" s="91">
        <f>CapEx!AG31</f>
        <v>0</v>
      </c>
      <c r="AH12" s="89">
        <f>CapEx!AH31</f>
        <v>0</v>
      </c>
      <c r="AI12" s="90">
        <f>CapEx!AI31</f>
        <v>0</v>
      </c>
      <c r="AJ12" s="91">
        <f>CapEx!AJ31</f>
        <v>0</v>
      </c>
      <c r="AK12" s="91">
        <f>CapEx!AK31</f>
        <v>0</v>
      </c>
      <c r="AL12" s="91">
        <f>CapEx!AL31</f>
        <v>0</v>
      </c>
      <c r="AM12" s="91">
        <f>CapEx!AM31</f>
        <v>0</v>
      </c>
      <c r="AN12" s="91">
        <f>CapEx!AN31</f>
        <v>0</v>
      </c>
      <c r="AO12" s="91">
        <f>CapEx!AO31</f>
        <v>0</v>
      </c>
      <c r="AP12" s="91">
        <f>CapEx!AP31</f>
        <v>0</v>
      </c>
      <c r="AQ12" s="91">
        <f>CapEx!AQ31</f>
        <v>0</v>
      </c>
      <c r="AR12" s="91">
        <f>CapEx!AR31</f>
        <v>0</v>
      </c>
      <c r="AS12" s="91">
        <f>CapEx!AS31</f>
        <v>0</v>
      </c>
      <c r="AT12" s="89">
        <f>CapEx!AT31</f>
        <v>0</v>
      </c>
      <c r="AU12" s="90">
        <f>CapEx!AU31</f>
        <v>0</v>
      </c>
      <c r="AV12" s="91">
        <f>CapEx!AV31</f>
        <v>0</v>
      </c>
      <c r="AW12" s="91">
        <f>CapEx!AW31</f>
        <v>0</v>
      </c>
      <c r="AX12" s="91">
        <f>CapEx!AX31</f>
        <v>0</v>
      </c>
      <c r="AY12" s="91">
        <f>CapEx!AY31</f>
        <v>0</v>
      </c>
      <c r="AZ12" s="91">
        <f>CapEx!AZ31</f>
        <v>0</v>
      </c>
      <c r="BA12" s="91">
        <f>CapEx!BA31</f>
        <v>0</v>
      </c>
      <c r="BB12" s="91">
        <f>CapEx!BB31</f>
        <v>0</v>
      </c>
      <c r="BC12" s="91">
        <f>CapEx!BC31</f>
        <v>0</v>
      </c>
      <c r="BD12" s="91">
        <f>CapEx!BD31</f>
        <v>0</v>
      </c>
      <c r="BE12" s="91">
        <f>CapEx!BE31</f>
        <v>0</v>
      </c>
      <c r="BF12" s="89">
        <f>CapEx!BF31</f>
        <v>0</v>
      </c>
      <c r="BG12" s="90">
        <f>CapEx!BG31</f>
        <v>0</v>
      </c>
      <c r="BH12" s="91">
        <f>CapEx!BH31</f>
        <v>0</v>
      </c>
      <c r="BI12" s="91">
        <f>CapEx!BI31</f>
        <v>0</v>
      </c>
      <c r="BJ12" s="91">
        <f>CapEx!BJ31</f>
        <v>0</v>
      </c>
      <c r="BK12" s="91">
        <f>CapEx!BK31</f>
        <v>0</v>
      </c>
      <c r="BL12" s="91">
        <f>CapEx!BL31</f>
        <v>0</v>
      </c>
      <c r="BM12" s="91">
        <f>CapEx!BM31</f>
        <v>0</v>
      </c>
      <c r="BN12" s="91">
        <f>CapEx!BN31</f>
        <v>0</v>
      </c>
      <c r="BO12" s="91">
        <f>CapEx!BO31</f>
        <v>0</v>
      </c>
      <c r="BP12" s="91">
        <f>CapEx!BP31</f>
        <v>0</v>
      </c>
      <c r="BQ12" s="91">
        <f>CapEx!BQ31</f>
        <v>0</v>
      </c>
      <c r="BR12" s="89">
        <f>CapEx!BR31</f>
        <v>0</v>
      </c>
    </row>
    <row r="13" spans="1:70" s="14" customFormat="1" ht="13.2" x14ac:dyDescent="0.3">
      <c r="A13" s="13"/>
      <c r="B13" s="5"/>
      <c r="C13" s="61" t="s">
        <v>80</v>
      </c>
      <c r="E13" s="89">
        <f t="shared" si="1"/>
        <v>100</v>
      </c>
      <c r="F13" s="89">
        <f t="shared" si="2"/>
        <v>0</v>
      </c>
      <c r="G13" s="89">
        <f t="shared" si="3"/>
        <v>0</v>
      </c>
      <c r="H13" s="89">
        <f t="shared" si="4"/>
        <v>0</v>
      </c>
      <c r="I13" s="89">
        <f t="shared" si="5"/>
        <v>0</v>
      </c>
      <c r="J13" s="88"/>
      <c r="K13" s="90">
        <f>CapEx!K32</f>
        <v>0</v>
      </c>
      <c r="L13" s="91">
        <f>CapEx!L32</f>
        <v>0</v>
      </c>
      <c r="M13" s="91">
        <f>CapEx!M32</f>
        <v>0</v>
      </c>
      <c r="N13" s="91">
        <f>CapEx!N32</f>
        <v>0</v>
      </c>
      <c r="O13" s="91">
        <f>CapEx!O32</f>
        <v>0</v>
      </c>
      <c r="P13" s="91">
        <f>CapEx!P32</f>
        <v>100</v>
      </c>
      <c r="Q13" s="91">
        <f>CapEx!Q32</f>
        <v>100</v>
      </c>
      <c r="R13" s="91">
        <f>CapEx!R32</f>
        <v>100</v>
      </c>
      <c r="S13" s="91">
        <f>CapEx!S32</f>
        <v>100</v>
      </c>
      <c r="T13" s="91">
        <f>CapEx!T32</f>
        <v>100</v>
      </c>
      <c r="U13" s="91">
        <f>CapEx!U32</f>
        <v>100</v>
      </c>
      <c r="V13" s="89">
        <f>CapEx!V32</f>
        <v>100</v>
      </c>
      <c r="W13" s="90">
        <f>CapEx!W32</f>
        <v>100</v>
      </c>
      <c r="X13" s="91">
        <f>CapEx!X32</f>
        <v>100</v>
      </c>
      <c r="Y13" s="91">
        <f>CapEx!Y32</f>
        <v>100</v>
      </c>
      <c r="Z13" s="91">
        <f>CapEx!Z32</f>
        <v>100</v>
      </c>
      <c r="AA13" s="91">
        <f>CapEx!AA32</f>
        <v>100</v>
      </c>
      <c r="AB13" s="91">
        <f>CapEx!AB32</f>
        <v>100</v>
      </c>
      <c r="AC13" s="91">
        <f>CapEx!AC32</f>
        <v>100</v>
      </c>
      <c r="AD13" s="91">
        <f>CapEx!AD32</f>
        <v>0</v>
      </c>
      <c r="AE13" s="91">
        <f>CapEx!AE32</f>
        <v>0</v>
      </c>
      <c r="AF13" s="91">
        <f>CapEx!AF32</f>
        <v>0</v>
      </c>
      <c r="AG13" s="91">
        <f>CapEx!AG32</f>
        <v>0</v>
      </c>
      <c r="AH13" s="89">
        <f>CapEx!AH32</f>
        <v>0</v>
      </c>
      <c r="AI13" s="90">
        <f>CapEx!AI32</f>
        <v>0</v>
      </c>
      <c r="AJ13" s="91">
        <f>CapEx!AJ32</f>
        <v>0</v>
      </c>
      <c r="AK13" s="91">
        <f>CapEx!AK32</f>
        <v>0</v>
      </c>
      <c r="AL13" s="91">
        <f>CapEx!AL32</f>
        <v>0</v>
      </c>
      <c r="AM13" s="91">
        <f>CapEx!AM32</f>
        <v>0</v>
      </c>
      <c r="AN13" s="91">
        <f>CapEx!AN32</f>
        <v>0</v>
      </c>
      <c r="AO13" s="91">
        <f>CapEx!AO32</f>
        <v>0</v>
      </c>
      <c r="AP13" s="91">
        <f>CapEx!AP32</f>
        <v>0</v>
      </c>
      <c r="AQ13" s="91">
        <f>CapEx!AQ32</f>
        <v>0</v>
      </c>
      <c r="AR13" s="91">
        <f>CapEx!AR32</f>
        <v>0</v>
      </c>
      <c r="AS13" s="91">
        <f>CapEx!AS32</f>
        <v>0</v>
      </c>
      <c r="AT13" s="89">
        <f>CapEx!AT32</f>
        <v>0</v>
      </c>
      <c r="AU13" s="90">
        <f>CapEx!AU32</f>
        <v>0</v>
      </c>
      <c r="AV13" s="91">
        <f>CapEx!AV32</f>
        <v>0</v>
      </c>
      <c r="AW13" s="91">
        <f>CapEx!AW32</f>
        <v>0</v>
      </c>
      <c r="AX13" s="91">
        <f>CapEx!AX32</f>
        <v>0</v>
      </c>
      <c r="AY13" s="91">
        <f>CapEx!AY32</f>
        <v>0</v>
      </c>
      <c r="AZ13" s="91">
        <f>CapEx!AZ32</f>
        <v>0</v>
      </c>
      <c r="BA13" s="91">
        <f>CapEx!BA32</f>
        <v>0</v>
      </c>
      <c r="BB13" s="91">
        <f>CapEx!BB32</f>
        <v>0</v>
      </c>
      <c r="BC13" s="91">
        <f>CapEx!BC32</f>
        <v>0</v>
      </c>
      <c r="BD13" s="91">
        <f>CapEx!BD32</f>
        <v>0</v>
      </c>
      <c r="BE13" s="91">
        <f>CapEx!BE32</f>
        <v>0</v>
      </c>
      <c r="BF13" s="89">
        <f>CapEx!BF32</f>
        <v>0</v>
      </c>
      <c r="BG13" s="90">
        <f>CapEx!BG32</f>
        <v>0</v>
      </c>
      <c r="BH13" s="91">
        <f>CapEx!BH32</f>
        <v>0</v>
      </c>
      <c r="BI13" s="91">
        <f>CapEx!BI32</f>
        <v>0</v>
      </c>
      <c r="BJ13" s="91">
        <f>CapEx!BJ32</f>
        <v>0</v>
      </c>
      <c r="BK13" s="91">
        <f>CapEx!BK32</f>
        <v>0</v>
      </c>
      <c r="BL13" s="91">
        <f>CapEx!BL32</f>
        <v>0</v>
      </c>
      <c r="BM13" s="91">
        <f>CapEx!BM32</f>
        <v>0</v>
      </c>
      <c r="BN13" s="91">
        <f>CapEx!BN32</f>
        <v>0</v>
      </c>
      <c r="BO13" s="91">
        <f>CapEx!BO32</f>
        <v>0</v>
      </c>
      <c r="BP13" s="91">
        <f>CapEx!BP32</f>
        <v>0</v>
      </c>
      <c r="BQ13" s="91">
        <f>CapEx!BQ32</f>
        <v>0</v>
      </c>
      <c r="BR13" s="89">
        <f>CapEx!BR32</f>
        <v>0</v>
      </c>
    </row>
    <row r="14" spans="1:70" s="14" customFormat="1" ht="13.2" x14ac:dyDescent="0.3">
      <c r="A14" s="13"/>
      <c r="B14" s="5"/>
      <c r="C14" s="61" t="str">
        <f>CapEx!C9</f>
        <v>Land</v>
      </c>
      <c r="E14" s="89">
        <f t="shared" si="1"/>
        <v>50</v>
      </c>
      <c r="F14" s="89">
        <f t="shared" si="2"/>
        <v>50</v>
      </c>
      <c r="G14" s="89">
        <f t="shared" si="3"/>
        <v>50</v>
      </c>
      <c r="H14" s="89">
        <f t="shared" si="4"/>
        <v>50</v>
      </c>
      <c r="I14" s="89">
        <f t="shared" si="5"/>
        <v>50</v>
      </c>
      <c r="J14" s="88"/>
      <c r="K14" s="90">
        <f>CapEx!K33</f>
        <v>0</v>
      </c>
      <c r="L14" s="91">
        <f>CapEx!L33</f>
        <v>0</v>
      </c>
      <c r="M14" s="91">
        <f>CapEx!M33</f>
        <v>50</v>
      </c>
      <c r="N14" s="91">
        <f>CapEx!N33</f>
        <v>50</v>
      </c>
      <c r="O14" s="91">
        <f>CapEx!O33</f>
        <v>50</v>
      </c>
      <c r="P14" s="91">
        <f>CapEx!P33</f>
        <v>50</v>
      </c>
      <c r="Q14" s="91">
        <f>CapEx!Q33</f>
        <v>50</v>
      </c>
      <c r="R14" s="91">
        <f>CapEx!R33</f>
        <v>50</v>
      </c>
      <c r="S14" s="91">
        <f>CapEx!S33</f>
        <v>50</v>
      </c>
      <c r="T14" s="91">
        <f>CapEx!T33</f>
        <v>50</v>
      </c>
      <c r="U14" s="91">
        <f>CapEx!U33</f>
        <v>50</v>
      </c>
      <c r="V14" s="89">
        <f>CapEx!V33</f>
        <v>50</v>
      </c>
      <c r="W14" s="90">
        <f>CapEx!W33</f>
        <v>50</v>
      </c>
      <c r="X14" s="91">
        <f>CapEx!X33</f>
        <v>50</v>
      </c>
      <c r="Y14" s="91">
        <f>CapEx!Y33</f>
        <v>50</v>
      </c>
      <c r="Z14" s="91">
        <f>CapEx!Z33</f>
        <v>50</v>
      </c>
      <c r="AA14" s="91">
        <f>CapEx!AA33</f>
        <v>50</v>
      </c>
      <c r="AB14" s="91">
        <f>CapEx!AB33</f>
        <v>50</v>
      </c>
      <c r="AC14" s="91">
        <f>CapEx!AC33</f>
        <v>50</v>
      </c>
      <c r="AD14" s="91">
        <f>CapEx!AD33</f>
        <v>50</v>
      </c>
      <c r="AE14" s="91">
        <f>CapEx!AE33</f>
        <v>50</v>
      </c>
      <c r="AF14" s="91">
        <f>CapEx!AF33</f>
        <v>50</v>
      </c>
      <c r="AG14" s="91">
        <f>CapEx!AG33</f>
        <v>50</v>
      </c>
      <c r="AH14" s="89">
        <f>CapEx!AH33</f>
        <v>50</v>
      </c>
      <c r="AI14" s="90">
        <f>CapEx!AI33</f>
        <v>50</v>
      </c>
      <c r="AJ14" s="91">
        <f>CapEx!AJ33</f>
        <v>50</v>
      </c>
      <c r="AK14" s="91">
        <f>CapEx!AK33</f>
        <v>50</v>
      </c>
      <c r="AL14" s="91">
        <f>CapEx!AL33</f>
        <v>50</v>
      </c>
      <c r="AM14" s="91">
        <f>CapEx!AM33</f>
        <v>50</v>
      </c>
      <c r="AN14" s="91">
        <f>CapEx!AN33</f>
        <v>50</v>
      </c>
      <c r="AO14" s="91">
        <f>CapEx!AO33</f>
        <v>50</v>
      </c>
      <c r="AP14" s="91">
        <f>CapEx!AP33</f>
        <v>50</v>
      </c>
      <c r="AQ14" s="91">
        <f>CapEx!AQ33</f>
        <v>50</v>
      </c>
      <c r="AR14" s="91">
        <f>CapEx!AR33</f>
        <v>50</v>
      </c>
      <c r="AS14" s="91">
        <f>CapEx!AS33</f>
        <v>50</v>
      </c>
      <c r="AT14" s="89">
        <f>CapEx!AT33</f>
        <v>50</v>
      </c>
      <c r="AU14" s="90">
        <f>CapEx!AU33</f>
        <v>50</v>
      </c>
      <c r="AV14" s="91">
        <f>CapEx!AV33</f>
        <v>50</v>
      </c>
      <c r="AW14" s="91">
        <f>CapEx!AW33</f>
        <v>50</v>
      </c>
      <c r="AX14" s="91">
        <f>CapEx!AX33</f>
        <v>50</v>
      </c>
      <c r="AY14" s="91">
        <f>CapEx!AY33</f>
        <v>50</v>
      </c>
      <c r="AZ14" s="91">
        <f>CapEx!AZ33</f>
        <v>50</v>
      </c>
      <c r="BA14" s="91">
        <f>CapEx!BA33</f>
        <v>50</v>
      </c>
      <c r="BB14" s="91">
        <f>CapEx!BB33</f>
        <v>50</v>
      </c>
      <c r="BC14" s="91">
        <f>CapEx!BC33</f>
        <v>50</v>
      </c>
      <c r="BD14" s="91">
        <f>CapEx!BD33</f>
        <v>50</v>
      </c>
      <c r="BE14" s="91">
        <f>CapEx!BE33</f>
        <v>50</v>
      </c>
      <c r="BF14" s="89">
        <f>CapEx!BF33</f>
        <v>50</v>
      </c>
      <c r="BG14" s="90">
        <f>CapEx!BG33</f>
        <v>50</v>
      </c>
      <c r="BH14" s="91">
        <f>CapEx!BH33</f>
        <v>50</v>
      </c>
      <c r="BI14" s="91">
        <f>CapEx!BI33</f>
        <v>50</v>
      </c>
      <c r="BJ14" s="91">
        <f>CapEx!BJ33</f>
        <v>50</v>
      </c>
      <c r="BK14" s="91">
        <f>CapEx!BK33</f>
        <v>50</v>
      </c>
      <c r="BL14" s="91">
        <f>CapEx!BL33</f>
        <v>50</v>
      </c>
      <c r="BM14" s="91">
        <f>CapEx!BM33</f>
        <v>50</v>
      </c>
      <c r="BN14" s="91">
        <f>CapEx!BN33</f>
        <v>50</v>
      </c>
      <c r="BO14" s="91">
        <f>CapEx!BO33</f>
        <v>50</v>
      </c>
      <c r="BP14" s="91">
        <f>CapEx!BP33</f>
        <v>50</v>
      </c>
      <c r="BQ14" s="91">
        <f>CapEx!BQ33</f>
        <v>50</v>
      </c>
      <c r="BR14" s="89">
        <f>CapEx!BR33</f>
        <v>50</v>
      </c>
    </row>
    <row r="15" spans="1:70" s="14" customFormat="1" ht="13.2" x14ac:dyDescent="0.3">
      <c r="A15" s="13"/>
      <c r="B15" s="5"/>
      <c r="C15" s="52" t="str">
        <f>CapEx!C10</f>
        <v>All other</v>
      </c>
      <c r="E15" s="93">
        <f t="shared" si="1"/>
        <v>0</v>
      </c>
      <c r="F15" s="93">
        <f t="shared" si="2"/>
        <v>0</v>
      </c>
      <c r="G15" s="93">
        <f t="shared" si="3"/>
        <v>0</v>
      </c>
      <c r="H15" s="93">
        <f t="shared" si="4"/>
        <v>0</v>
      </c>
      <c r="I15" s="93">
        <f t="shared" si="5"/>
        <v>0</v>
      </c>
      <c r="J15" s="88"/>
      <c r="K15" s="94">
        <f>CapEx!K34</f>
        <v>0</v>
      </c>
      <c r="L15" s="94">
        <f>CapEx!L34</f>
        <v>0</v>
      </c>
      <c r="M15" s="94">
        <f>CapEx!M34</f>
        <v>0</v>
      </c>
      <c r="N15" s="94">
        <f>CapEx!N34</f>
        <v>0</v>
      </c>
      <c r="O15" s="94">
        <f>CapEx!O34</f>
        <v>0</v>
      </c>
      <c r="P15" s="94">
        <f>CapEx!P34</f>
        <v>0</v>
      </c>
      <c r="Q15" s="94">
        <f>CapEx!Q34</f>
        <v>0</v>
      </c>
      <c r="R15" s="94">
        <f>CapEx!R34</f>
        <v>0</v>
      </c>
      <c r="S15" s="94">
        <f>CapEx!S34</f>
        <v>0</v>
      </c>
      <c r="T15" s="94">
        <f>CapEx!T34</f>
        <v>0</v>
      </c>
      <c r="U15" s="94">
        <f>CapEx!U34</f>
        <v>0</v>
      </c>
      <c r="V15" s="93">
        <f>CapEx!V34</f>
        <v>0</v>
      </c>
      <c r="W15" s="94">
        <f>CapEx!W34</f>
        <v>0</v>
      </c>
      <c r="X15" s="94">
        <f>CapEx!X34</f>
        <v>0</v>
      </c>
      <c r="Y15" s="94">
        <f>CapEx!Y34</f>
        <v>0</v>
      </c>
      <c r="Z15" s="94">
        <f>CapEx!Z34</f>
        <v>0</v>
      </c>
      <c r="AA15" s="94">
        <f>CapEx!AA34</f>
        <v>0</v>
      </c>
      <c r="AB15" s="94">
        <f>CapEx!AB34</f>
        <v>0</v>
      </c>
      <c r="AC15" s="94">
        <f>CapEx!AC34</f>
        <v>0</v>
      </c>
      <c r="AD15" s="94">
        <f>CapEx!AD34</f>
        <v>0</v>
      </c>
      <c r="AE15" s="94">
        <f>CapEx!AE34</f>
        <v>0</v>
      </c>
      <c r="AF15" s="94">
        <f>CapEx!AF34</f>
        <v>0</v>
      </c>
      <c r="AG15" s="94">
        <f>CapEx!AG34</f>
        <v>0</v>
      </c>
      <c r="AH15" s="93">
        <f>CapEx!AH34</f>
        <v>0</v>
      </c>
      <c r="AI15" s="94">
        <f>CapEx!AI34</f>
        <v>0</v>
      </c>
      <c r="AJ15" s="94">
        <f>CapEx!AJ34</f>
        <v>0</v>
      </c>
      <c r="AK15" s="94">
        <f>CapEx!AK34</f>
        <v>0</v>
      </c>
      <c r="AL15" s="94">
        <f>CapEx!AL34</f>
        <v>0</v>
      </c>
      <c r="AM15" s="94">
        <f>CapEx!AM34</f>
        <v>0</v>
      </c>
      <c r="AN15" s="94">
        <f>CapEx!AN34</f>
        <v>0</v>
      </c>
      <c r="AO15" s="94">
        <f>CapEx!AO34</f>
        <v>0</v>
      </c>
      <c r="AP15" s="94">
        <f>CapEx!AP34</f>
        <v>0</v>
      </c>
      <c r="AQ15" s="94">
        <f>CapEx!AQ34</f>
        <v>0</v>
      </c>
      <c r="AR15" s="94">
        <f>CapEx!AR34</f>
        <v>0</v>
      </c>
      <c r="AS15" s="94">
        <f>CapEx!AS34</f>
        <v>0</v>
      </c>
      <c r="AT15" s="93">
        <f>CapEx!AT34</f>
        <v>0</v>
      </c>
      <c r="AU15" s="94">
        <f>CapEx!AU34</f>
        <v>0</v>
      </c>
      <c r="AV15" s="94">
        <f>CapEx!AV34</f>
        <v>0</v>
      </c>
      <c r="AW15" s="94">
        <f>CapEx!AW34</f>
        <v>0</v>
      </c>
      <c r="AX15" s="94">
        <f>CapEx!AX34</f>
        <v>0</v>
      </c>
      <c r="AY15" s="94">
        <f>CapEx!AY34</f>
        <v>0</v>
      </c>
      <c r="AZ15" s="94">
        <f>CapEx!AZ34</f>
        <v>0</v>
      </c>
      <c r="BA15" s="94">
        <f>CapEx!BA34</f>
        <v>0</v>
      </c>
      <c r="BB15" s="94">
        <f>CapEx!BB34</f>
        <v>0</v>
      </c>
      <c r="BC15" s="94">
        <f>CapEx!BC34</f>
        <v>0</v>
      </c>
      <c r="BD15" s="94">
        <f>CapEx!BD34</f>
        <v>0</v>
      </c>
      <c r="BE15" s="94">
        <f>CapEx!BE34</f>
        <v>0</v>
      </c>
      <c r="BF15" s="93">
        <f>CapEx!BF34</f>
        <v>0</v>
      </c>
      <c r="BG15" s="94">
        <f>CapEx!BG34</f>
        <v>0</v>
      </c>
      <c r="BH15" s="94">
        <f>CapEx!BH34</f>
        <v>0</v>
      </c>
      <c r="BI15" s="94">
        <f>CapEx!BI34</f>
        <v>0</v>
      </c>
      <c r="BJ15" s="94">
        <f>CapEx!BJ34</f>
        <v>0</v>
      </c>
      <c r="BK15" s="94">
        <f>CapEx!BK34</f>
        <v>0</v>
      </c>
      <c r="BL15" s="94">
        <f>CapEx!BL34</f>
        <v>0</v>
      </c>
      <c r="BM15" s="94">
        <f>CapEx!BM34</f>
        <v>0</v>
      </c>
      <c r="BN15" s="94">
        <f>CapEx!BN34</f>
        <v>0</v>
      </c>
      <c r="BO15" s="94">
        <f>CapEx!BO34</f>
        <v>0</v>
      </c>
      <c r="BP15" s="94">
        <f>CapEx!BP34</f>
        <v>0</v>
      </c>
      <c r="BQ15" s="94">
        <f>CapEx!BQ34</f>
        <v>0</v>
      </c>
      <c r="BR15" s="93">
        <f>CapEx!BR34</f>
        <v>0</v>
      </c>
    </row>
    <row r="16" spans="1:70" s="14" customFormat="1" ht="13.2" x14ac:dyDescent="0.3">
      <c r="A16" s="13"/>
      <c r="B16" s="5"/>
      <c r="C16" s="56" t="s">
        <v>81</v>
      </c>
      <c r="E16" s="96">
        <f t="shared" si="1"/>
        <v>150</v>
      </c>
      <c r="F16" s="96">
        <f t="shared" si="2"/>
        <v>50</v>
      </c>
      <c r="G16" s="96">
        <f t="shared" si="3"/>
        <v>50</v>
      </c>
      <c r="H16" s="96">
        <f t="shared" si="4"/>
        <v>50</v>
      </c>
      <c r="I16" s="96">
        <f t="shared" si="5"/>
        <v>50</v>
      </c>
      <c r="J16" s="16"/>
      <c r="K16" s="97">
        <f>SUM(K10:K15)</f>
        <v>4</v>
      </c>
      <c r="L16" s="97">
        <f t="shared" ref="L16:O16" si="6">SUM(L10:L15)</f>
        <v>4</v>
      </c>
      <c r="M16" s="97">
        <f t="shared" si="6"/>
        <v>54</v>
      </c>
      <c r="N16" s="97">
        <f t="shared" si="6"/>
        <v>54</v>
      </c>
      <c r="O16" s="97">
        <f t="shared" si="6"/>
        <v>54</v>
      </c>
      <c r="P16" s="97">
        <f>SUM(P10:P15)</f>
        <v>154</v>
      </c>
      <c r="Q16" s="97">
        <f t="shared" ref="Q16:AB16" si="7">SUM(Q10:Q15)</f>
        <v>154</v>
      </c>
      <c r="R16" s="97">
        <f t="shared" si="7"/>
        <v>154</v>
      </c>
      <c r="S16" s="97">
        <f t="shared" si="7"/>
        <v>154</v>
      </c>
      <c r="T16" s="97">
        <f t="shared" si="7"/>
        <v>154</v>
      </c>
      <c r="U16" s="97">
        <f t="shared" si="7"/>
        <v>150</v>
      </c>
      <c r="V16" s="96">
        <f t="shared" si="7"/>
        <v>150</v>
      </c>
      <c r="W16" s="97">
        <f>SUM(W10:W15)</f>
        <v>150</v>
      </c>
      <c r="X16" s="97">
        <f t="shared" si="7"/>
        <v>150</v>
      </c>
      <c r="Y16" s="97">
        <f t="shared" si="7"/>
        <v>150</v>
      </c>
      <c r="Z16" s="97">
        <f t="shared" si="7"/>
        <v>150</v>
      </c>
      <c r="AA16" s="97">
        <f t="shared" si="7"/>
        <v>150</v>
      </c>
      <c r="AB16" s="97">
        <f t="shared" si="7"/>
        <v>150</v>
      </c>
      <c r="AC16" s="97">
        <f>SUM(AC10:AC15)</f>
        <v>150</v>
      </c>
      <c r="AD16" s="97">
        <f t="shared" ref="AD16:AS16" si="8">SUM(AD10:AD15)</f>
        <v>50</v>
      </c>
      <c r="AE16" s="97">
        <f t="shared" si="8"/>
        <v>50</v>
      </c>
      <c r="AF16" s="97">
        <f t="shared" si="8"/>
        <v>50</v>
      </c>
      <c r="AG16" s="97">
        <f t="shared" si="8"/>
        <v>50</v>
      </c>
      <c r="AH16" s="96">
        <f t="shared" si="8"/>
        <v>50</v>
      </c>
      <c r="AI16" s="97">
        <f t="shared" si="8"/>
        <v>50</v>
      </c>
      <c r="AJ16" s="97">
        <f t="shared" si="8"/>
        <v>50</v>
      </c>
      <c r="AK16" s="97">
        <f t="shared" si="8"/>
        <v>50</v>
      </c>
      <c r="AL16" s="97">
        <f t="shared" si="8"/>
        <v>50</v>
      </c>
      <c r="AM16" s="97">
        <f t="shared" si="8"/>
        <v>50</v>
      </c>
      <c r="AN16" s="97">
        <f t="shared" si="8"/>
        <v>50</v>
      </c>
      <c r="AO16" s="97">
        <f t="shared" si="8"/>
        <v>50</v>
      </c>
      <c r="AP16" s="97">
        <f t="shared" si="8"/>
        <v>50</v>
      </c>
      <c r="AQ16" s="97">
        <f t="shared" si="8"/>
        <v>50</v>
      </c>
      <c r="AR16" s="97">
        <f t="shared" si="8"/>
        <v>50</v>
      </c>
      <c r="AS16" s="97">
        <f t="shared" si="8"/>
        <v>50</v>
      </c>
      <c r="AT16" s="96">
        <f>SUM(AT10:AT15)</f>
        <v>50</v>
      </c>
      <c r="AU16" s="97">
        <f t="shared" ref="AU16:BR16" si="9">SUM(AU10:AU15)</f>
        <v>50</v>
      </c>
      <c r="AV16" s="97">
        <f t="shared" si="9"/>
        <v>50</v>
      </c>
      <c r="AW16" s="97">
        <f t="shared" si="9"/>
        <v>50</v>
      </c>
      <c r="AX16" s="97">
        <f t="shared" si="9"/>
        <v>50</v>
      </c>
      <c r="AY16" s="97">
        <f t="shared" si="9"/>
        <v>50</v>
      </c>
      <c r="AZ16" s="97">
        <f t="shared" si="9"/>
        <v>50</v>
      </c>
      <c r="BA16" s="97">
        <f t="shared" si="9"/>
        <v>50</v>
      </c>
      <c r="BB16" s="97">
        <f t="shared" si="9"/>
        <v>50</v>
      </c>
      <c r="BC16" s="97">
        <f t="shared" si="9"/>
        <v>50</v>
      </c>
      <c r="BD16" s="97">
        <f t="shared" si="9"/>
        <v>50</v>
      </c>
      <c r="BE16" s="97">
        <f t="shared" si="9"/>
        <v>50</v>
      </c>
      <c r="BF16" s="96">
        <f t="shared" si="9"/>
        <v>50</v>
      </c>
      <c r="BG16" s="97">
        <f t="shared" si="9"/>
        <v>50</v>
      </c>
      <c r="BH16" s="97">
        <f t="shared" si="9"/>
        <v>50</v>
      </c>
      <c r="BI16" s="97">
        <f t="shared" si="9"/>
        <v>50</v>
      </c>
      <c r="BJ16" s="97">
        <f t="shared" si="9"/>
        <v>50</v>
      </c>
      <c r="BK16" s="97">
        <f t="shared" si="9"/>
        <v>50</v>
      </c>
      <c r="BL16" s="97">
        <f t="shared" si="9"/>
        <v>50</v>
      </c>
      <c r="BM16" s="97">
        <f t="shared" si="9"/>
        <v>50</v>
      </c>
      <c r="BN16" s="97">
        <f t="shared" si="9"/>
        <v>50</v>
      </c>
      <c r="BO16" s="97">
        <f t="shared" si="9"/>
        <v>50</v>
      </c>
      <c r="BP16" s="97">
        <f t="shared" si="9"/>
        <v>50</v>
      </c>
      <c r="BQ16" s="97">
        <f t="shared" si="9"/>
        <v>50</v>
      </c>
      <c r="BR16" s="96">
        <f t="shared" si="9"/>
        <v>50</v>
      </c>
    </row>
    <row r="17" spans="1:70" s="14" customFormat="1" ht="13.2" x14ac:dyDescent="0.3">
      <c r="A17" s="13"/>
      <c r="B17" s="5"/>
      <c r="C17" s="106" t="s">
        <v>82</v>
      </c>
      <c r="E17" s="89">
        <f t="shared" si="1"/>
        <v>-50</v>
      </c>
      <c r="F17" s="89">
        <f t="shared" si="2"/>
        <v>0</v>
      </c>
      <c r="G17" s="89">
        <f t="shared" si="3"/>
        <v>0</v>
      </c>
      <c r="H17" s="89">
        <f t="shared" si="4"/>
        <v>0</v>
      </c>
      <c r="I17" s="89">
        <f t="shared" si="5"/>
        <v>0</v>
      </c>
      <c r="J17" s="88"/>
      <c r="K17" s="90">
        <f>CapEx!K27</f>
        <v>-0.4</v>
      </c>
      <c r="L17" s="91">
        <f>CapEx!L27</f>
        <v>-0.8</v>
      </c>
      <c r="M17" s="91">
        <f>CapEx!M27</f>
        <v>-1.2000000000000002</v>
      </c>
      <c r="N17" s="91">
        <f>CapEx!N27</f>
        <v>-1.6</v>
      </c>
      <c r="O17" s="91">
        <f>CapEx!O27</f>
        <v>-2</v>
      </c>
      <c r="P17" s="91">
        <f>CapEx!P27</f>
        <v>-9.5428571428571445</v>
      </c>
      <c r="Q17" s="91">
        <f>CapEx!Q27</f>
        <v>-17.085714285714285</v>
      </c>
      <c r="R17" s="91">
        <f>CapEx!R27</f>
        <v>-24.62857142857143</v>
      </c>
      <c r="S17" s="91">
        <f>CapEx!S27</f>
        <v>-32.171428571428571</v>
      </c>
      <c r="T17" s="91">
        <f>CapEx!T27</f>
        <v>-39.714285714285715</v>
      </c>
      <c r="U17" s="91">
        <f>CapEx!U27</f>
        <v>-42.857142857142861</v>
      </c>
      <c r="V17" s="89">
        <f>CapEx!V27</f>
        <v>-50</v>
      </c>
      <c r="W17" s="90">
        <f>CapEx!W27</f>
        <v>-57.142857142857146</v>
      </c>
      <c r="X17" s="91">
        <f>CapEx!X27</f>
        <v>-64.285714285714292</v>
      </c>
      <c r="Y17" s="91">
        <f>CapEx!Y27</f>
        <v>-71.428571428571431</v>
      </c>
      <c r="Z17" s="91">
        <f>CapEx!Z27</f>
        <v>-78.571428571428569</v>
      </c>
      <c r="AA17" s="91">
        <f>CapEx!AA27</f>
        <v>-85.714285714285722</v>
      </c>
      <c r="AB17" s="91">
        <f>CapEx!AB27</f>
        <v>-92.857142857142861</v>
      </c>
      <c r="AC17" s="91">
        <f>CapEx!AC27</f>
        <v>-100</v>
      </c>
      <c r="AD17" s="91">
        <f>CapEx!AD27</f>
        <v>0</v>
      </c>
      <c r="AE17" s="91">
        <f>CapEx!AE27</f>
        <v>0</v>
      </c>
      <c r="AF17" s="91">
        <f>CapEx!AF27</f>
        <v>0</v>
      </c>
      <c r="AG17" s="91">
        <f>CapEx!AG27</f>
        <v>0</v>
      </c>
      <c r="AH17" s="89">
        <f>CapEx!AH27</f>
        <v>0</v>
      </c>
      <c r="AI17" s="90">
        <f>CapEx!AI27</f>
        <v>0</v>
      </c>
      <c r="AJ17" s="91">
        <f>CapEx!AJ27</f>
        <v>0</v>
      </c>
      <c r="AK17" s="91">
        <f>CapEx!AK27</f>
        <v>0</v>
      </c>
      <c r="AL17" s="91">
        <f>CapEx!AL27</f>
        <v>0</v>
      </c>
      <c r="AM17" s="91">
        <f>CapEx!AM27</f>
        <v>0</v>
      </c>
      <c r="AN17" s="91">
        <f>CapEx!AN27</f>
        <v>0</v>
      </c>
      <c r="AO17" s="91">
        <f>CapEx!AO27</f>
        <v>0</v>
      </c>
      <c r="AP17" s="91">
        <f>CapEx!AP27</f>
        <v>0</v>
      </c>
      <c r="AQ17" s="91">
        <f>CapEx!AQ27</f>
        <v>0</v>
      </c>
      <c r="AR17" s="91">
        <f>CapEx!AR27</f>
        <v>0</v>
      </c>
      <c r="AS17" s="91">
        <f>CapEx!AS27</f>
        <v>0</v>
      </c>
      <c r="AT17" s="89">
        <f>CapEx!AT27</f>
        <v>0</v>
      </c>
      <c r="AU17" s="90">
        <f>CapEx!AU27</f>
        <v>0</v>
      </c>
      <c r="AV17" s="91">
        <f>CapEx!AV27</f>
        <v>0</v>
      </c>
      <c r="AW17" s="91">
        <f>CapEx!AW27</f>
        <v>0</v>
      </c>
      <c r="AX17" s="91">
        <f>CapEx!AX27</f>
        <v>0</v>
      </c>
      <c r="AY17" s="91">
        <f>CapEx!AY27</f>
        <v>0</v>
      </c>
      <c r="AZ17" s="91">
        <f>CapEx!AZ27</f>
        <v>0</v>
      </c>
      <c r="BA17" s="91">
        <f>CapEx!BA27</f>
        <v>0</v>
      </c>
      <c r="BB17" s="91">
        <f>CapEx!BB27</f>
        <v>0</v>
      </c>
      <c r="BC17" s="91">
        <f>CapEx!BC27</f>
        <v>0</v>
      </c>
      <c r="BD17" s="91">
        <f>CapEx!BD27</f>
        <v>0</v>
      </c>
      <c r="BE17" s="91">
        <f>CapEx!BE27</f>
        <v>0</v>
      </c>
      <c r="BF17" s="89">
        <f>CapEx!BF27</f>
        <v>0</v>
      </c>
      <c r="BG17" s="90">
        <f>CapEx!BG27</f>
        <v>0</v>
      </c>
      <c r="BH17" s="91">
        <f>CapEx!BH27</f>
        <v>0</v>
      </c>
      <c r="BI17" s="91">
        <f>CapEx!BI27</f>
        <v>0</v>
      </c>
      <c r="BJ17" s="91">
        <f>CapEx!BJ27</f>
        <v>0</v>
      </c>
      <c r="BK17" s="91">
        <f>CapEx!BK27</f>
        <v>0</v>
      </c>
      <c r="BL17" s="91">
        <f>CapEx!BL27</f>
        <v>0</v>
      </c>
      <c r="BM17" s="91">
        <f>CapEx!BM27</f>
        <v>0</v>
      </c>
      <c r="BN17" s="91">
        <f>CapEx!BN27</f>
        <v>0</v>
      </c>
      <c r="BO17" s="91">
        <f>CapEx!BO27</f>
        <v>0</v>
      </c>
      <c r="BP17" s="91">
        <f>CapEx!BP27</f>
        <v>0</v>
      </c>
      <c r="BQ17" s="91">
        <f>CapEx!BQ27</f>
        <v>0</v>
      </c>
      <c r="BR17" s="89">
        <f>CapEx!BR27</f>
        <v>0</v>
      </c>
    </row>
    <row r="18" spans="1:70" s="14" customFormat="1" ht="13.2" x14ac:dyDescent="0.3">
      <c r="A18" s="13"/>
      <c r="B18" s="5"/>
      <c r="C18" s="107" t="s">
        <v>83</v>
      </c>
      <c r="E18" s="98">
        <f t="shared" si="1"/>
        <v>100</v>
      </c>
      <c r="F18" s="98">
        <f t="shared" si="2"/>
        <v>50</v>
      </c>
      <c r="G18" s="98">
        <f t="shared" si="3"/>
        <v>50</v>
      </c>
      <c r="H18" s="98">
        <f t="shared" si="4"/>
        <v>50</v>
      </c>
      <c r="I18" s="98">
        <f t="shared" si="5"/>
        <v>50</v>
      </c>
      <c r="J18" s="16"/>
      <c r="K18" s="99">
        <f t="shared" ref="K18:AP18" si="10">SUM(K16:K17)</f>
        <v>3.6</v>
      </c>
      <c r="L18" s="99">
        <f t="shared" si="10"/>
        <v>3.2</v>
      </c>
      <c r="M18" s="99">
        <f t="shared" si="10"/>
        <v>52.8</v>
      </c>
      <c r="N18" s="99">
        <f t="shared" si="10"/>
        <v>52.4</v>
      </c>
      <c r="O18" s="99">
        <f t="shared" si="10"/>
        <v>52</v>
      </c>
      <c r="P18" s="99">
        <f t="shared" si="10"/>
        <v>144.45714285714286</v>
      </c>
      <c r="Q18" s="99">
        <f t="shared" si="10"/>
        <v>136.91428571428571</v>
      </c>
      <c r="R18" s="99">
        <f t="shared" si="10"/>
        <v>129.37142857142857</v>
      </c>
      <c r="S18" s="99">
        <f t="shared" si="10"/>
        <v>121.82857142857142</v>
      </c>
      <c r="T18" s="99">
        <f t="shared" si="10"/>
        <v>114.28571428571428</v>
      </c>
      <c r="U18" s="99">
        <f t="shared" si="10"/>
        <v>107.14285714285714</v>
      </c>
      <c r="V18" s="98">
        <f t="shared" si="10"/>
        <v>100</v>
      </c>
      <c r="W18" s="99">
        <f>SUM(W16:W17)</f>
        <v>92.857142857142861</v>
      </c>
      <c r="X18" s="99">
        <f>SUM(X16:X17)</f>
        <v>85.714285714285708</v>
      </c>
      <c r="Y18" s="99">
        <f t="shared" si="10"/>
        <v>78.571428571428569</v>
      </c>
      <c r="Z18" s="99">
        <f t="shared" si="10"/>
        <v>71.428571428571431</v>
      </c>
      <c r="AA18" s="99">
        <f t="shared" si="10"/>
        <v>64.285714285714278</v>
      </c>
      <c r="AB18" s="99">
        <f t="shared" si="10"/>
        <v>57.142857142857139</v>
      </c>
      <c r="AC18" s="99">
        <f t="shared" si="10"/>
        <v>50</v>
      </c>
      <c r="AD18" s="99">
        <f t="shared" si="10"/>
        <v>50</v>
      </c>
      <c r="AE18" s="99">
        <f t="shared" si="10"/>
        <v>50</v>
      </c>
      <c r="AF18" s="99">
        <f t="shared" si="10"/>
        <v>50</v>
      </c>
      <c r="AG18" s="99">
        <f t="shared" si="10"/>
        <v>50</v>
      </c>
      <c r="AH18" s="98">
        <f t="shared" si="10"/>
        <v>50</v>
      </c>
      <c r="AI18" s="99">
        <f t="shared" si="10"/>
        <v>50</v>
      </c>
      <c r="AJ18" s="99">
        <f t="shared" si="10"/>
        <v>50</v>
      </c>
      <c r="AK18" s="99">
        <f t="shared" si="10"/>
        <v>50</v>
      </c>
      <c r="AL18" s="99">
        <f t="shared" si="10"/>
        <v>50</v>
      </c>
      <c r="AM18" s="99">
        <f t="shared" si="10"/>
        <v>50</v>
      </c>
      <c r="AN18" s="99">
        <f t="shared" si="10"/>
        <v>50</v>
      </c>
      <c r="AO18" s="99">
        <f t="shared" si="10"/>
        <v>50</v>
      </c>
      <c r="AP18" s="99">
        <f t="shared" si="10"/>
        <v>50</v>
      </c>
      <c r="AQ18" s="99">
        <f t="shared" ref="AQ18:BR18" si="11">SUM(AQ16:AQ17)</f>
        <v>50</v>
      </c>
      <c r="AR18" s="99">
        <f t="shared" si="11"/>
        <v>50</v>
      </c>
      <c r="AS18" s="99">
        <f t="shared" si="11"/>
        <v>50</v>
      </c>
      <c r="AT18" s="98">
        <f t="shared" si="11"/>
        <v>50</v>
      </c>
      <c r="AU18" s="99">
        <f t="shared" si="11"/>
        <v>50</v>
      </c>
      <c r="AV18" s="99">
        <f t="shared" si="11"/>
        <v>50</v>
      </c>
      <c r="AW18" s="99">
        <f t="shared" si="11"/>
        <v>50</v>
      </c>
      <c r="AX18" s="99">
        <f t="shared" si="11"/>
        <v>50</v>
      </c>
      <c r="AY18" s="99">
        <f t="shared" si="11"/>
        <v>50</v>
      </c>
      <c r="AZ18" s="99">
        <f t="shared" si="11"/>
        <v>50</v>
      </c>
      <c r="BA18" s="99">
        <f t="shared" si="11"/>
        <v>50</v>
      </c>
      <c r="BB18" s="99">
        <f t="shared" si="11"/>
        <v>50</v>
      </c>
      <c r="BC18" s="99">
        <f t="shared" si="11"/>
        <v>50</v>
      </c>
      <c r="BD18" s="99">
        <f t="shared" si="11"/>
        <v>50</v>
      </c>
      <c r="BE18" s="99">
        <f t="shared" si="11"/>
        <v>50</v>
      </c>
      <c r="BF18" s="98">
        <f t="shared" si="11"/>
        <v>50</v>
      </c>
      <c r="BG18" s="99">
        <f t="shared" si="11"/>
        <v>50</v>
      </c>
      <c r="BH18" s="99">
        <f t="shared" si="11"/>
        <v>50</v>
      </c>
      <c r="BI18" s="99">
        <f t="shared" si="11"/>
        <v>50</v>
      </c>
      <c r="BJ18" s="99">
        <f t="shared" si="11"/>
        <v>50</v>
      </c>
      <c r="BK18" s="99">
        <f t="shared" si="11"/>
        <v>50</v>
      </c>
      <c r="BL18" s="99">
        <f t="shared" si="11"/>
        <v>50</v>
      </c>
      <c r="BM18" s="99">
        <f t="shared" si="11"/>
        <v>50</v>
      </c>
      <c r="BN18" s="99">
        <f t="shared" si="11"/>
        <v>50</v>
      </c>
      <c r="BO18" s="99">
        <f t="shared" si="11"/>
        <v>50</v>
      </c>
      <c r="BP18" s="99">
        <f t="shared" si="11"/>
        <v>50</v>
      </c>
      <c r="BQ18" s="99">
        <f t="shared" si="11"/>
        <v>50</v>
      </c>
      <c r="BR18" s="98">
        <f t="shared" si="11"/>
        <v>50</v>
      </c>
    </row>
    <row r="19" spans="1:70" s="75" customFormat="1" ht="13.2" x14ac:dyDescent="0.3">
      <c r="A19" s="13"/>
      <c r="B19" s="5"/>
      <c r="C19" s="49" t="s">
        <v>29</v>
      </c>
      <c r="D19" s="108"/>
      <c r="E19" s="96">
        <f t="shared" ref="E19:E25" ca="1" si="12">V19</f>
        <v>775.83268335215314</v>
      </c>
      <c r="F19" s="96">
        <f t="shared" ref="F19:F25" ca="1" si="13">AH19</f>
        <v>1244.6345300065523</v>
      </c>
      <c r="G19" s="96">
        <f t="shared" ref="G19:G25" ca="1" si="14">AT19</f>
        <v>1688.0715365993938</v>
      </c>
      <c r="H19" s="96">
        <f t="shared" ref="H19:H25" ca="1" si="15">BF19</f>
        <v>2172.2109850642064</v>
      </c>
      <c r="I19" s="96">
        <f t="shared" ref="I19:I25" ca="1" si="16">BR19</f>
        <v>2699.5638776765886</v>
      </c>
      <c r="J19" s="77"/>
      <c r="K19" s="97">
        <f t="shared" ref="K19:AP19" ca="1" si="17">SUM(K9,K18:K18)</f>
        <v>437.71583333333342</v>
      </c>
      <c r="L19" s="97">
        <f t="shared" ca="1" si="17"/>
        <v>467.46400059405818</v>
      </c>
      <c r="M19" s="97">
        <f t="shared" ca="1" si="17"/>
        <v>497.45027005920844</v>
      </c>
      <c r="N19" s="97">
        <f t="shared" ca="1" si="17"/>
        <v>527.67585283201515</v>
      </c>
      <c r="O19" s="97">
        <f t="shared" ca="1" si="17"/>
        <v>558.14196561897791</v>
      </c>
      <c r="P19" s="97">
        <f t="shared" ca="1" si="17"/>
        <v>612.40881262827997</v>
      </c>
      <c r="Q19" s="97">
        <f t="shared" ca="1" si="17"/>
        <v>638.95144381590558</v>
      </c>
      <c r="R19" s="97">
        <f t="shared" ca="1" si="17"/>
        <v>665.73828900811577</v>
      </c>
      <c r="S19" s="97">
        <f t="shared" ca="1" si="17"/>
        <v>692.77058757635973</v>
      </c>
      <c r="T19" s="97">
        <f t="shared" ca="1" si="17"/>
        <v>720.04958462184936</v>
      </c>
      <c r="U19" s="97">
        <f t="shared" ca="1" si="17"/>
        <v>747.81653100119479</v>
      </c>
      <c r="V19" s="96">
        <f t="shared" ca="1" si="17"/>
        <v>775.83268335215314</v>
      </c>
      <c r="W19" s="97">
        <f t="shared" ca="1" si="17"/>
        <v>897.58901405711492</v>
      </c>
      <c r="X19" s="97">
        <f t="shared" ca="1" si="17"/>
        <v>925.90612151857533</v>
      </c>
      <c r="Y19" s="97">
        <f t="shared" ca="1" si="17"/>
        <v>954.47623981098275</v>
      </c>
      <c r="Z19" s="97">
        <f t="shared" ca="1" si="17"/>
        <v>983.30064895643807</v>
      </c>
      <c r="AA19" s="97">
        <f t="shared" ca="1" si="17"/>
        <v>1012.3806348886424</v>
      </c>
      <c r="AB19" s="97">
        <f t="shared" ca="1" si="17"/>
        <v>1041.7174894793343</v>
      </c>
      <c r="AC19" s="97">
        <f t="shared" ca="1" si="17"/>
        <v>1071.312510564843</v>
      </c>
      <c r="AD19" s="97">
        <f t="shared" ca="1" si="17"/>
        <v>1105.452716258475</v>
      </c>
      <c r="AE19" s="97">
        <f t="shared" ca="1" si="17"/>
        <v>1139.8537021201571</v>
      </c>
      <c r="AF19" s="97">
        <f t="shared" ca="1" si="17"/>
        <v>1174.5167840404888</v>
      </c>
      <c r="AG19" s="97">
        <f t="shared" ca="1" si="17"/>
        <v>1209.4432839820511</v>
      </c>
      <c r="AH19" s="96">
        <f t="shared" ca="1" si="17"/>
        <v>1244.6345300065523</v>
      </c>
      <c r="AI19" s="97">
        <f t="shared" ca="1" si="17"/>
        <v>1280.0918563020923</v>
      </c>
      <c r="AJ19" s="97">
        <f t="shared" ca="1" si="17"/>
        <v>1315.8166032105469</v>
      </c>
      <c r="AK19" s="97">
        <f t="shared" ca="1" si="17"/>
        <v>1351.8101172550712</v>
      </c>
      <c r="AL19" s="97">
        <f t="shared" ca="1" si="17"/>
        <v>1388.0737511677314</v>
      </c>
      <c r="AM19" s="97">
        <f t="shared" ca="1" si="17"/>
        <v>1424.6088639172467</v>
      </c>
      <c r="AN19" s="97">
        <f t="shared" ca="1" si="17"/>
        <v>1461.4168207368648</v>
      </c>
      <c r="AO19" s="97">
        <f t="shared" ca="1" si="17"/>
        <v>1498.4989931523537</v>
      </c>
      <c r="AP19" s="97">
        <f t="shared" ca="1" si="17"/>
        <v>1535.8567590101195</v>
      </c>
      <c r="AQ19" s="97">
        <f t="shared" ref="AQ19:BR19" ca="1" si="18">SUM(AQ9,AQ18:AQ18)</f>
        <v>1573.4915025054474</v>
      </c>
      <c r="AR19" s="97">
        <f t="shared" ca="1" si="18"/>
        <v>1611.4046142108666</v>
      </c>
      <c r="AS19" s="97">
        <f t="shared" ca="1" si="18"/>
        <v>1649.5974911046433</v>
      </c>
      <c r="AT19" s="96">
        <f t="shared" ca="1" si="18"/>
        <v>1688.0715365993938</v>
      </c>
      <c r="AU19" s="97">
        <f t="shared" ca="1" si="18"/>
        <v>1726.8281605708301</v>
      </c>
      <c r="AV19" s="97">
        <f t="shared" ca="1" si="18"/>
        <v>1765.8687793866275</v>
      </c>
      <c r="AW19" s="97">
        <f t="shared" ca="1" si="18"/>
        <v>1805.1948159354224</v>
      </c>
      <c r="AX19" s="97">
        <f t="shared" ca="1" si="18"/>
        <v>1844.8076996559346</v>
      </c>
      <c r="AY19" s="97">
        <f t="shared" ca="1" si="18"/>
        <v>1884.7088665662232</v>
      </c>
      <c r="AZ19" s="97">
        <f t="shared" ca="1" si="18"/>
        <v>1924.8997592930655</v>
      </c>
      <c r="BA19" s="97">
        <f t="shared" ca="1" si="18"/>
        <v>1965.38182710147</v>
      </c>
      <c r="BB19" s="97">
        <f t="shared" ca="1" si="18"/>
        <v>2006.1565259243182</v>
      </c>
      <c r="BC19" s="97">
        <f t="shared" ca="1" si="18"/>
        <v>2047.2253183921348</v>
      </c>
      <c r="BD19" s="97">
        <f t="shared" ca="1" si="18"/>
        <v>2088.5896738629926</v>
      </c>
      <c r="BE19" s="97">
        <f t="shared" ca="1" si="18"/>
        <v>2130.2510684525478</v>
      </c>
      <c r="BF19" s="96">
        <f t="shared" ca="1" si="18"/>
        <v>2172.2109850642064</v>
      </c>
      <c r="BG19" s="97">
        <f t="shared" ca="1" si="18"/>
        <v>2214.4709134194259</v>
      </c>
      <c r="BH19" s="97">
        <f t="shared" ca="1" si="18"/>
        <v>2257.0323500881491</v>
      </c>
      <c r="BI19" s="97">
        <f t="shared" ca="1" si="18"/>
        <v>2299.8967985193717</v>
      </c>
      <c r="BJ19" s="97">
        <f t="shared" ca="1" si="18"/>
        <v>2343.0657690718458</v>
      </c>
      <c r="BK19" s="97">
        <f t="shared" ca="1" si="18"/>
        <v>2386.5407790449185</v>
      </c>
      <c r="BL19" s="97">
        <f t="shared" ca="1" si="18"/>
        <v>2430.3233527095053</v>
      </c>
      <c r="BM19" s="97">
        <f t="shared" ca="1" si="18"/>
        <v>2474.4150213392022</v>
      </c>
      <c r="BN19" s="97">
        <f t="shared" ca="1" si="18"/>
        <v>2518.8173232415334</v>
      </c>
      <c r="BO19" s="97">
        <f t="shared" ca="1" si="18"/>
        <v>2563.5318037893335</v>
      </c>
      <c r="BP19" s="97">
        <f t="shared" ca="1" si="18"/>
        <v>2608.5600154522772</v>
      </c>
      <c r="BQ19" s="97">
        <f t="shared" ca="1" si="18"/>
        <v>2653.9035178285371</v>
      </c>
      <c r="BR19" s="96">
        <f t="shared" ca="1" si="18"/>
        <v>2699.5638776765886</v>
      </c>
    </row>
    <row r="20" spans="1:70" s="14" customFormat="1" ht="13.2" x14ac:dyDescent="0.3">
      <c r="A20" s="13"/>
      <c r="B20" s="5"/>
      <c r="C20" s="61" t="s">
        <v>71</v>
      </c>
      <c r="E20" s="89">
        <f t="shared" si="12"/>
        <v>210.8975861959733</v>
      </c>
      <c r="F20" s="89">
        <f t="shared" si="13"/>
        <v>222.11198165242573</v>
      </c>
      <c r="G20" s="89">
        <f t="shared" si="14"/>
        <v>233.92269813711835</v>
      </c>
      <c r="H20" s="89">
        <f t="shared" si="15"/>
        <v>246.36144478409201</v>
      </c>
      <c r="I20" s="89">
        <f t="shared" si="16"/>
        <v>259.46161684800802</v>
      </c>
      <c r="J20" s="88"/>
      <c r="K20" s="90">
        <f>SUM(Cash!K20,Cash!K29)</f>
        <v>201.11583333333331</v>
      </c>
      <c r="L20" s="91">
        <f>SUM(Cash!L20,Cash!L29)</f>
        <v>201.98601187162998</v>
      </c>
      <c r="M20" s="91">
        <f>SUM(Cash!M20,Cash!M29)</f>
        <v>202.85995545754105</v>
      </c>
      <c r="N20" s="91">
        <f>SUM(Cash!N20,Cash!N29)</f>
        <v>203.73768038149771</v>
      </c>
      <c r="O20" s="91">
        <f>SUM(Cash!O20,Cash!O29)</f>
        <v>204.61920300441565</v>
      </c>
      <c r="P20" s="91">
        <f>SUM(Cash!P20,Cash!P29)</f>
        <v>205.50453975800036</v>
      </c>
      <c r="Q20" s="91">
        <f>SUM(Cash!Q20,Cash!Q29)</f>
        <v>206.39370714505316</v>
      </c>
      <c r="R20" s="91">
        <f>SUM(Cash!R20,Cash!R29)</f>
        <v>207.28672173977904</v>
      </c>
      <c r="S20" s="91">
        <f>SUM(Cash!S20,Cash!S29)</f>
        <v>208.18360018809528</v>
      </c>
      <c r="T20" s="91">
        <f>SUM(Cash!T20,Cash!T29)</f>
        <v>209.0843592079421</v>
      </c>
      <c r="U20" s="91">
        <f>SUM(Cash!U20,Cash!U29)</f>
        <v>209.98901558959417</v>
      </c>
      <c r="V20" s="89">
        <f>SUM(Cash!V20,Cash!V29)</f>
        <v>210.8975861959733</v>
      </c>
      <c r="W20" s="90">
        <f>SUM(Cash!W20,Cash!W29)</f>
        <v>211.81008796296319</v>
      </c>
      <c r="X20" s="91">
        <f>SUM(Cash!X20,Cash!X29)</f>
        <v>212.72653789972489</v>
      </c>
      <c r="Y20" s="91">
        <f>SUM(Cash!Y20,Cash!Y29)</f>
        <v>213.64695308901375</v>
      </c>
      <c r="Z20" s="91">
        <f>SUM(Cash!Z20,Cash!Z29)</f>
        <v>214.57135068749824</v>
      </c>
      <c r="AA20" s="91">
        <f>SUM(Cash!AA20,Cash!AA29)</f>
        <v>215.49974792607924</v>
      </c>
      <c r="AB20" s="91">
        <f>SUM(Cash!AB20,Cash!AB29)</f>
        <v>216.43216211021158</v>
      </c>
      <c r="AC20" s="91">
        <f>SUM(Cash!AC20,Cash!AC29)</f>
        <v>217.36861062022666</v>
      </c>
      <c r="AD20" s="91">
        <f>SUM(Cash!AD20,Cash!AD29)</f>
        <v>218.30911091165615</v>
      </c>
      <c r="AE20" s="91">
        <f>SUM(Cash!AE20,Cash!AE29)</f>
        <v>219.25368051555736</v>
      </c>
      <c r="AF20" s="91">
        <f>SUM(Cash!AF20,Cash!AF29)</f>
        <v>220.20233703884057</v>
      </c>
      <c r="AG20" s="91">
        <f>SUM(Cash!AG20,Cash!AG29)</f>
        <v>221.15509816459627</v>
      </c>
      <c r="AH20" s="89">
        <f>SUM(Cash!AH20,Cash!AH29)</f>
        <v>222.11198165242573</v>
      </c>
      <c r="AI20" s="90">
        <f>SUM(Cash!AI20,Cash!AI29)</f>
        <v>223.0730053387714</v>
      </c>
      <c r="AJ20" s="91">
        <f>SUM(Cash!AJ20,Cash!AJ29)</f>
        <v>224.03818713724974</v>
      </c>
      <c r="AK20" s="91">
        <f>SUM(Cash!AK20,Cash!AK29)</f>
        <v>225.00754503898492</v>
      </c>
      <c r="AL20" s="91">
        <f>SUM(Cash!AL20,Cash!AL29)</f>
        <v>225.98109711294444</v>
      </c>
      <c r="AM20" s="91">
        <f>SUM(Cash!AM20,Cash!AM29)</f>
        <v>226.95886150627541</v>
      </c>
      <c r="AN20" s="91">
        <f>SUM(Cash!AN20,Cash!AN29)</f>
        <v>227.94085644464349</v>
      </c>
      <c r="AO20" s="91">
        <f>SUM(Cash!AO20,Cash!AO29)</f>
        <v>228.92710023257209</v>
      </c>
      <c r="AP20" s="91">
        <f>SUM(Cash!AP20,Cash!AP29)</f>
        <v>229.91761125378395</v>
      </c>
      <c r="AQ20" s="91">
        <f>SUM(Cash!AQ20,Cash!AQ29)</f>
        <v>230.91240797154353</v>
      </c>
      <c r="AR20" s="91">
        <f>SUM(Cash!AR20,Cash!AR29)</f>
        <v>231.91150892900123</v>
      </c>
      <c r="AS20" s="91">
        <f>SUM(Cash!AS20,Cash!AS29)</f>
        <v>232.91493274953919</v>
      </c>
      <c r="AT20" s="89">
        <f>SUM(Cash!AT20,Cash!AT29)</f>
        <v>233.92269813711835</v>
      </c>
      <c r="AU20" s="90">
        <f>SUM(Cash!AU20,Cash!AU29)</f>
        <v>234.93482387662684</v>
      </c>
      <c r="AV20" s="91">
        <f>SUM(Cash!AV20,Cash!AV29)</f>
        <v>235.95132883423065</v>
      </c>
      <c r="AW20" s="91">
        <f>SUM(Cash!AW20,Cash!AW29)</f>
        <v>236.97223195772486</v>
      </c>
      <c r="AX20" s="91">
        <f>SUM(Cash!AX20,Cash!AX29)</f>
        <v>237.99755227688689</v>
      </c>
      <c r="AY20" s="91">
        <f>SUM(Cash!AY20,Cash!AY29)</f>
        <v>239.02730890383148</v>
      </c>
      <c r="AZ20" s="91">
        <f>SUM(Cash!AZ20,Cash!AZ29)</f>
        <v>240.0615210333666</v>
      </c>
      <c r="BA20" s="91">
        <f>SUM(Cash!BA20,Cash!BA29)</f>
        <v>241.10020794335179</v>
      </c>
      <c r="BB20" s="91">
        <f>SUM(Cash!BB20,Cash!BB29)</f>
        <v>242.1433889950566</v>
      </c>
      <c r="BC20" s="91">
        <f>SUM(Cash!BC20,Cash!BC29)</f>
        <v>243.19108363352245</v>
      </c>
      <c r="BD20" s="91">
        <f>SUM(Cash!BD20,Cash!BD29)</f>
        <v>244.24331138792431</v>
      </c>
      <c r="BE20" s="91">
        <f>SUM(Cash!BE20,Cash!BE29)</f>
        <v>245.30009187193528</v>
      </c>
      <c r="BF20" s="89">
        <f>SUM(Cash!BF20,Cash!BF29)</f>
        <v>246.36144478409201</v>
      </c>
      <c r="BG20" s="90">
        <f>SUM(Cash!BG20,Cash!BG29)</f>
        <v>247.42738990816153</v>
      </c>
      <c r="BH20" s="91">
        <f>SUM(Cash!BH20,Cash!BH29)</f>
        <v>248.49794711351086</v>
      </c>
      <c r="BI20" s="91">
        <f>SUM(Cash!BI20,Cash!BI29)</f>
        <v>249.57313635547649</v>
      </c>
      <c r="BJ20" s="91">
        <f>SUM(Cash!BJ20,Cash!BJ29)</f>
        <v>250.65297767573693</v>
      </c>
      <c r="BK20" s="91">
        <f>SUM(Cash!BK20,Cash!BK29)</f>
        <v>251.73749120268576</v>
      </c>
      <c r="BL20" s="91">
        <f>SUM(Cash!BL20,Cash!BL29)</f>
        <v>252.82669715180737</v>
      </c>
      <c r="BM20" s="91">
        <f>SUM(Cash!BM20,Cash!BM29)</f>
        <v>253.92061582605365</v>
      </c>
      <c r="BN20" s="91">
        <f>SUM(Cash!BN20,Cash!BN29)</f>
        <v>255.01926761622218</v>
      </c>
      <c r="BO20" s="91">
        <f>SUM(Cash!BO20,Cash!BO29)</f>
        <v>256.12267300133658</v>
      </c>
      <c r="BP20" s="91">
        <f>SUM(Cash!BP20,Cash!BP29)</f>
        <v>257.23085254902821</v>
      </c>
      <c r="BQ20" s="91">
        <f>SUM(Cash!BQ20,Cash!BQ29)</f>
        <v>258.34382691591912</v>
      </c>
      <c r="BR20" s="89">
        <f>SUM(Cash!BR20,Cash!BR29)</f>
        <v>259.46161684800802</v>
      </c>
    </row>
    <row r="21" spans="1:70" s="14" customFormat="1" ht="13.2" x14ac:dyDescent="0.3">
      <c r="A21" s="13"/>
      <c r="B21" s="5"/>
      <c r="C21" s="61" t="s">
        <v>177</v>
      </c>
      <c r="E21" s="89">
        <f t="shared" si="12"/>
        <v>19.287056098860862</v>
      </c>
      <c r="F21" s="89">
        <f t="shared" si="13"/>
        <v>20.719151502443111</v>
      </c>
      <c r="G21" s="89">
        <f t="shared" si="14"/>
        <v>22.259082371431898</v>
      </c>
      <c r="H21" s="89">
        <f t="shared" si="15"/>
        <v>23.915074745451733</v>
      </c>
      <c r="I21" s="89">
        <f t="shared" si="16"/>
        <v>25.695989577305951</v>
      </c>
      <c r="J21" s="88"/>
      <c r="K21" s="90">
        <f>OtherCL*Income!K12*(1+OtherCLcagr)^((K$3-1)/12)</f>
        <v>18.0625</v>
      </c>
      <c r="L21" s="91">
        <f>OtherCL*Income!L12*(1+OtherCLcagr)^((L$3-1)/12)</f>
        <v>18.170491124872491</v>
      </c>
      <c r="M21" s="91">
        <f>OtherCL*Income!M12*(1+OtherCLcagr)^((M$3-1)/12)</f>
        <v>18.279136492306019</v>
      </c>
      <c r="N21" s="91">
        <f>OtherCL*Income!N12*(1+OtherCLcagr)^((N$3-1)/12)</f>
        <v>18.388440115019616</v>
      </c>
      <c r="O21" s="91">
        <f>OtherCL*Income!O12*(1+OtherCLcagr)^((O$3-1)/12)</f>
        <v>18.498406030621016</v>
      </c>
      <c r="P21" s="91">
        <f>OtherCL*Income!P12*(1+OtherCLcagr)^((P$3-1)/12)</f>
        <v>18.609038301762592</v>
      </c>
      <c r="Q21" s="91">
        <f>OtherCL*Income!Q12*(1+OtherCLcagr)^((Q$3-1)/12)</f>
        <v>18.720341016298253</v>
      </c>
      <c r="R21" s="91">
        <f>OtherCL*Income!R12*(1+OtherCLcagr)^((R$3-1)/12)</f>
        <v>18.832318287441339</v>
      </c>
      <c r="S21" s="91">
        <f>OtherCL*Income!S12*(1+OtherCLcagr)^((S$3-1)/12)</f>
        <v>18.944974253923512</v>
      </c>
      <c r="T21" s="91">
        <f>OtherCL*Income!T12*(1+OtherCLcagr)^((T$3-1)/12)</f>
        <v>19.058313080154651</v>
      </c>
      <c r="U21" s="91">
        <f>OtherCL*Income!U12*(1+OtherCLcagr)^((U$3-1)/12)</f>
        <v>19.172338956383754</v>
      </c>
      <c r="V21" s="89">
        <f>OtherCL*Income!V12*(1+OtherCLcagr)^((V$3-1)/12)</f>
        <v>19.287056098860862</v>
      </c>
      <c r="W21" s="90">
        <f>OtherCL*Income!W12*(1+OtherCLcagr)^((W$3-1)/12)</f>
        <v>19.402468750000001</v>
      </c>
      <c r="X21" s="91">
        <f>OtherCL*Income!X12*(1+OtherCLcagr)^((X$3-1)/12)</f>
        <v>19.51858117854318</v>
      </c>
      <c r="Y21" s="91">
        <f>OtherCL*Income!Y12*(1+OtherCLcagr)^((Y$3-1)/12)</f>
        <v>19.635397679725365</v>
      </c>
      <c r="Z21" s="91">
        <f>OtherCL*Income!Z12*(1+OtherCLcagr)^((Z$3-1)/12)</f>
        <v>19.752922575440575</v>
      </c>
      <c r="AA21" s="91">
        <f>OtherCL*Income!AA12*(1+OtherCLcagr)^((AA$3-1)/12)</f>
        <v>19.87116021440896</v>
      </c>
      <c r="AB21" s="91">
        <f>OtherCL*Income!AB12*(1+OtherCLcagr)^((AB$3-1)/12)</f>
        <v>19.990114972344966</v>
      </c>
      <c r="AC21" s="91">
        <f>OtherCL*Income!AC12*(1+OtherCLcagr)^((AC$3-1)/12)</f>
        <v>20.109791252126588</v>
      </c>
      <c r="AD21" s="91">
        <f>OtherCL*Income!AD12*(1+OtherCLcagr)^((AD$3-1)/12)</f>
        <v>20.230193483965628</v>
      </c>
      <c r="AE21" s="91">
        <f>OtherCL*Income!AE12*(1+OtherCLcagr)^((AE$3-1)/12)</f>
        <v>20.351326125579085</v>
      </c>
      <c r="AF21" s="91">
        <f>OtherCL*Income!AF12*(1+OtherCLcagr)^((AF$3-1)/12)</f>
        <v>20.473193662361606</v>
      </c>
      <c r="AG21" s="91">
        <f>OtherCL*Income!AG12*(1+OtherCLcagr)^((AG$3-1)/12)</f>
        <v>20.595800607559049</v>
      </c>
      <c r="AH21" s="89">
        <f>OtherCL*Income!AH12*(1+OtherCLcagr)^((AH$3-1)/12)</f>
        <v>20.719151502443111</v>
      </c>
      <c r="AI21" s="90">
        <f>OtherCL*Income!AI12*(1+OtherCLcagr)^((AI$3-1)/12)</f>
        <v>20.843250916487069</v>
      </c>
      <c r="AJ21" s="91">
        <f>OtherCL*Income!AJ12*(1+OtherCLcagr)^((AJ$3-1)/12)</f>
        <v>20.968103447542667</v>
      </c>
      <c r="AK21" s="91">
        <f>OtherCL*Income!AK12*(1+OtherCLcagr)^((AK$3-1)/12)</f>
        <v>21.093713722018062</v>
      </c>
      <c r="AL21" s="91">
        <f>OtherCL*Income!AL12*(1+OtherCLcagr)^((AL$3-1)/12)</f>
        <v>21.220086395056963</v>
      </c>
      <c r="AM21" s="91">
        <f>OtherCL*Income!AM12*(1+OtherCLcagr)^((AM$3-1)/12)</f>
        <v>21.347226150718829</v>
      </c>
      <c r="AN21" s="91">
        <f>OtherCL*Income!AN12*(1+OtherCLcagr)^((AN$3-1)/12)</f>
        <v>21.475137702160286</v>
      </c>
      <c r="AO21" s="91">
        <f>OtherCL*Income!AO12*(1+OtherCLcagr)^((AO$3-1)/12)</f>
        <v>21.603825791817641</v>
      </c>
      <c r="AP21" s="91">
        <f>OtherCL*Income!AP12*(1+OtherCLcagr)^((AP$3-1)/12)</f>
        <v>21.733295191590535</v>
      </c>
      <c r="AQ21" s="91">
        <f>OtherCL*Income!AQ12*(1+OtherCLcagr)^((AQ$3-1)/12)</f>
        <v>21.863550703026814</v>
      </c>
      <c r="AR21" s="91">
        <f>OtherCL*Income!AR12*(1+OtherCLcagr)^((AR$3-1)/12)</f>
        <v>21.99459715750854</v>
      </c>
      <c r="AS21" s="91">
        <f>OtherCL*Income!AS12*(1+OtherCLcagr)^((AS$3-1)/12)</f>
        <v>22.126439416439165</v>
      </c>
      <c r="AT21" s="89">
        <f>OtherCL*Income!AT12*(1+OtherCLcagr)^((AT$3-1)/12)</f>
        <v>22.259082371431898</v>
      </c>
      <c r="AU21" s="90">
        <f>OtherCL*Income!AU12*(1+OtherCLcagr)^((AU$3-1)/12)</f>
        <v>22.392530944499313</v>
      </c>
      <c r="AV21" s="91">
        <f>OtherCL*Income!AV12*(1+OtherCLcagr)^((AV$3-1)/12)</f>
        <v>22.526790088244056</v>
      </c>
      <c r="AW21" s="91">
        <f>OtherCL*Income!AW12*(1+OtherCLcagr)^((AW$3-1)/12)</f>
        <v>22.661864786050849</v>
      </c>
      <c r="AX21" s="91">
        <f>OtherCL*Income!AX12*(1+OtherCLcagr)^((AX$3-1)/12)</f>
        <v>22.797760052279681</v>
      </c>
      <c r="AY21" s="91">
        <f>OtherCL*Income!AY12*(1+OtherCLcagr)^((AY$3-1)/12)</f>
        <v>22.93448093246019</v>
      </c>
      <c r="AZ21" s="91">
        <f>OtherCL*Income!AZ12*(1+OtherCLcagr)^((AZ$3-1)/12)</f>
        <v>23.072032503487343</v>
      </c>
      <c r="BA21" s="91">
        <f>OtherCL*Income!BA12*(1+OtherCLcagr)^((BA$3-1)/12)</f>
        <v>23.210419873818271</v>
      </c>
      <c r="BB21" s="91">
        <f>OtherCL*Income!BB12*(1+OtherCLcagr)^((BB$3-1)/12)</f>
        <v>23.349648183670432</v>
      </c>
      <c r="BC21" s="91">
        <f>OtherCL*Income!BC12*(1+OtherCLcagr)^((BC$3-1)/12)</f>
        <v>23.489722605220951</v>
      </c>
      <c r="BD21" s="91">
        <f>OtherCL*Income!BD12*(1+OtherCLcagr)^((BD$3-1)/12)</f>
        <v>23.630648342807302</v>
      </c>
      <c r="BE21" s="91">
        <f>OtherCL*Income!BE12*(1+OtherCLcagr)^((BE$3-1)/12)</f>
        <v>23.772430633129186</v>
      </c>
      <c r="BF21" s="89">
        <f>OtherCL*Income!BF12*(1+OtherCLcagr)^((BF$3-1)/12)</f>
        <v>23.915074745451733</v>
      </c>
      <c r="BG21" s="90">
        <f>OtherCL*Income!BG12*(1+OtherCLcagr)^((BG$3-1)/12)</f>
        <v>24.05858598180998</v>
      </c>
      <c r="BH21" s="91">
        <f>OtherCL*Income!BH12*(1+OtherCLcagr)^((BH$3-1)/12)</f>
        <v>24.202969677214657</v>
      </c>
      <c r="BI21" s="91">
        <f>OtherCL*Income!BI12*(1+OtherCLcagr)^((BI$3-1)/12)</f>
        <v>24.348231199859207</v>
      </c>
      <c r="BJ21" s="91">
        <f>OtherCL*Income!BJ12*(1+OtherCLcagr)^((BJ$3-1)/12)</f>
        <v>24.494375951328223</v>
      </c>
      <c r="BK21" s="91">
        <f>OtherCL*Income!BK12*(1+OtherCLcagr)^((BK$3-1)/12)</f>
        <v>24.641409366807139</v>
      </c>
      <c r="BL21" s="91">
        <f>OtherCL*Income!BL12*(1+OtherCLcagr)^((BL$3-1)/12)</f>
        <v>24.789336915293259</v>
      </c>
      <c r="BM21" s="91">
        <f>OtherCL*Income!BM12*(1+OtherCLcagr)^((BM$3-1)/12)</f>
        <v>24.938164099808123</v>
      </c>
      <c r="BN21" s="91">
        <f>OtherCL*Income!BN12*(1+OtherCLcagr)^((BN$3-1)/12)</f>
        <v>25.087896457611212</v>
      </c>
      <c r="BO21" s="91">
        <f>OtherCL*Income!BO12*(1+OtherCLcagr)^((BO$3-1)/12)</f>
        <v>25.238539560415045</v>
      </c>
      <c r="BP21" s="91">
        <f>OtherCL*Income!BP12*(1+OtherCLcagr)^((BP$3-1)/12)</f>
        <v>25.390099014601564</v>
      </c>
      <c r="BQ21" s="91">
        <f>OtherCL*Income!BQ12*(1+OtherCLcagr)^((BQ$3-1)/12)</f>
        <v>25.542580461439993</v>
      </c>
      <c r="BR21" s="89">
        <f>OtherCL*Income!BR12*(1+OtherCLcagr)^((BR$3-1)/12)</f>
        <v>25.695989577305951</v>
      </c>
    </row>
    <row r="22" spans="1:70" s="14" customFormat="1" ht="13.2" x14ac:dyDescent="0.3">
      <c r="A22" s="13"/>
      <c r="B22" s="5"/>
      <c r="C22" s="52" t="s">
        <v>182</v>
      </c>
      <c r="E22" s="93">
        <f t="shared" ref="E22" si="19">V22</f>
        <v>60</v>
      </c>
      <c r="F22" s="93">
        <f t="shared" ref="F22" si="20">AH22</f>
        <v>80</v>
      </c>
      <c r="G22" s="93">
        <f t="shared" ref="G22" si="21">AT22</f>
        <v>80</v>
      </c>
      <c r="H22" s="93">
        <f t="shared" ref="H22" si="22">BF22</f>
        <v>80</v>
      </c>
      <c r="I22" s="93">
        <f t="shared" ref="I22" si="23">BR22</f>
        <v>80</v>
      </c>
      <c r="J22" s="88"/>
      <c r="K22" s="94">
        <f>Drivers!$E$6+Cash!K7</f>
        <v>50</v>
      </c>
      <c r="L22" s="94">
        <f>Cash!L7+K22</f>
        <v>50</v>
      </c>
      <c r="M22" s="94">
        <f>Cash!M7+L22</f>
        <v>50</v>
      </c>
      <c r="N22" s="94">
        <f>Cash!N7+M22</f>
        <v>50</v>
      </c>
      <c r="O22" s="94">
        <f>Cash!O7+N22</f>
        <v>50</v>
      </c>
      <c r="P22" s="94">
        <f>Cash!P7+O22</f>
        <v>60</v>
      </c>
      <c r="Q22" s="94">
        <f>Cash!Q7+P22</f>
        <v>60</v>
      </c>
      <c r="R22" s="94">
        <f>Cash!R7+Q22</f>
        <v>60</v>
      </c>
      <c r="S22" s="94">
        <f>Cash!S7+R22</f>
        <v>60</v>
      </c>
      <c r="T22" s="94">
        <f>Cash!T7+S22</f>
        <v>60</v>
      </c>
      <c r="U22" s="94">
        <f>Cash!U7+T22</f>
        <v>60</v>
      </c>
      <c r="V22" s="93">
        <f>Cash!V7+U22</f>
        <v>60</v>
      </c>
      <c r="W22" s="94">
        <f>Cash!W7+V22</f>
        <v>80</v>
      </c>
      <c r="X22" s="94">
        <f>Cash!X7+W22</f>
        <v>80</v>
      </c>
      <c r="Y22" s="94">
        <f>Cash!Y7+X22</f>
        <v>80</v>
      </c>
      <c r="Z22" s="94">
        <f>Cash!Z7+Y22</f>
        <v>80</v>
      </c>
      <c r="AA22" s="94">
        <f>Cash!AA7+Z22</f>
        <v>80</v>
      </c>
      <c r="AB22" s="94">
        <f>Cash!AB7+AA22</f>
        <v>80</v>
      </c>
      <c r="AC22" s="94">
        <f>Cash!AC7+AB22</f>
        <v>80</v>
      </c>
      <c r="AD22" s="94">
        <f>Cash!AD7+AC22</f>
        <v>80</v>
      </c>
      <c r="AE22" s="94">
        <f>Cash!AE7+AD22</f>
        <v>80</v>
      </c>
      <c r="AF22" s="94">
        <f>Cash!AF7+AE22</f>
        <v>80</v>
      </c>
      <c r="AG22" s="94">
        <f>Cash!AG7+AF22</f>
        <v>80</v>
      </c>
      <c r="AH22" s="93">
        <f>Cash!AH7+AG22</f>
        <v>80</v>
      </c>
      <c r="AI22" s="94">
        <f>Cash!AI7+AH22</f>
        <v>80</v>
      </c>
      <c r="AJ22" s="94">
        <f>Cash!AJ7+AI22</f>
        <v>80</v>
      </c>
      <c r="AK22" s="94">
        <f>Cash!AK7+AJ22</f>
        <v>80</v>
      </c>
      <c r="AL22" s="94">
        <f>Cash!AL7+AK22</f>
        <v>80</v>
      </c>
      <c r="AM22" s="94">
        <f>Cash!AM7+AL22</f>
        <v>80</v>
      </c>
      <c r="AN22" s="94">
        <f>Cash!AN7+AM22</f>
        <v>80</v>
      </c>
      <c r="AO22" s="94">
        <f>Cash!AO7+AN22</f>
        <v>80</v>
      </c>
      <c r="AP22" s="94">
        <f>Cash!AP7+AO22</f>
        <v>80</v>
      </c>
      <c r="AQ22" s="94">
        <f>Cash!AQ7+AP22</f>
        <v>80</v>
      </c>
      <c r="AR22" s="94">
        <f>Cash!AR7+AQ22</f>
        <v>80</v>
      </c>
      <c r="AS22" s="94">
        <f>Cash!AS7+AR22</f>
        <v>80</v>
      </c>
      <c r="AT22" s="93">
        <f>Cash!AT7+AS22</f>
        <v>80</v>
      </c>
      <c r="AU22" s="94">
        <f>Cash!AU7+AT22</f>
        <v>80</v>
      </c>
      <c r="AV22" s="94">
        <f>Cash!AV7+AU22</f>
        <v>80</v>
      </c>
      <c r="AW22" s="94">
        <f>Cash!AW7+AV22</f>
        <v>80</v>
      </c>
      <c r="AX22" s="94">
        <f>Cash!AX7+AW22</f>
        <v>80</v>
      </c>
      <c r="AY22" s="94">
        <f>Cash!AY7+AX22</f>
        <v>80</v>
      </c>
      <c r="AZ22" s="94">
        <f>Cash!AZ7+AY22</f>
        <v>80</v>
      </c>
      <c r="BA22" s="94">
        <f>Cash!BA7+AZ22</f>
        <v>80</v>
      </c>
      <c r="BB22" s="94">
        <f>Cash!BB7+BA22</f>
        <v>80</v>
      </c>
      <c r="BC22" s="94">
        <f>Cash!BC7+BB22</f>
        <v>80</v>
      </c>
      <c r="BD22" s="94">
        <f>Cash!BD7+BC22</f>
        <v>80</v>
      </c>
      <c r="BE22" s="94">
        <f>Cash!BE7+BD22</f>
        <v>80</v>
      </c>
      <c r="BF22" s="93">
        <f>Cash!BF7+BE22</f>
        <v>80</v>
      </c>
      <c r="BG22" s="94">
        <f>Cash!BG7+BF22</f>
        <v>80</v>
      </c>
      <c r="BH22" s="94">
        <f>Cash!BH7+BG22</f>
        <v>80</v>
      </c>
      <c r="BI22" s="94">
        <f>Cash!BI7+BH22</f>
        <v>80</v>
      </c>
      <c r="BJ22" s="94">
        <f>Cash!BJ7+BI22</f>
        <v>80</v>
      </c>
      <c r="BK22" s="94">
        <f>Cash!BK7+BJ22</f>
        <v>80</v>
      </c>
      <c r="BL22" s="94">
        <f>Cash!BL7+BK22</f>
        <v>80</v>
      </c>
      <c r="BM22" s="94">
        <f>Cash!BM7+BL22</f>
        <v>80</v>
      </c>
      <c r="BN22" s="94">
        <f>Cash!BN7+BM22</f>
        <v>80</v>
      </c>
      <c r="BO22" s="94">
        <f>Cash!BO7+BN22</f>
        <v>80</v>
      </c>
      <c r="BP22" s="94">
        <f>Cash!BP7+BO22</f>
        <v>80</v>
      </c>
      <c r="BQ22" s="94">
        <f>Cash!BQ7+BP22</f>
        <v>80</v>
      </c>
      <c r="BR22" s="93">
        <f>Cash!BR7+BQ22</f>
        <v>80</v>
      </c>
    </row>
    <row r="23" spans="1:70" ht="13.2" x14ac:dyDescent="0.3">
      <c r="A23" s="13"/>
      <c r="C23" s="56" t="s">
        <v>84</v>
      </c>
      <c r="D23" s="14"/>
      <c r="E23" s="95">
        <f t="shared" si="12"/>
        <v>290.18464229483413</v>
      </c>
      <c r="F23" s="95">
        <f t="shared" si="13"/>
        <v>322.83113315486884</v>
      </c>
      <c r="G23" s="95">
        <f t="shared" si="14"/>
        <v>336.18178050855022</v>
      </c>
      <c r="H23" s="95">
        <f t="shared" si="15"/>
        <v>350.27651952954375</v>
      </c>
      <c r="I23" s="95">
        <f t="shared" si="16"/>
        <v>365.15760642531399</v>
      </c>
      <c r="J23" s="16"/>
      <c r="K23" s="97">
        <f>SUM(K20:K22)</f>
        <v>269.17833333333328</v>
      </c>
      <c r="L23" s="97">
        <f t="shared" ref="L23:BR23" si="24">SUM(L20:L22)</f>
        <v>270.15650299650247</v>
      </c>
      <c r="M23" s="97">
        <f t="shared" si="24"/>
        <v>271.13909194984706</v>
      </c>
      <c r="N23" s="97">
        <f t="shared" si="24"/>
        <v>272.12612049651733</v>
      </c>
      <c r="O23" s="97">
        <f t="shared" si="24"/>
        <v>273.11760903503671</v>
      </c>
      <c r="P23" s="97">
        <f t="shared" si="24"/>
        <v>284.11357805976297</v>
      </c>
      <c r="Q23" s="97">
        <f t="shared" si="24"/>
        <v>285.11404816135143</v>
      </c>
      <c r="R23" s="97">
        <f t="shared" si="24"/>
        <v>286.11904002722036</v>
      </c>
      <c r="S23" s="97">
        <f t="shared" si="24"/>
        <v>287.12857444201882</v>
      </c>
      <c r="T23" s="97">
        <f t="shared" si="24"/>
        <v>288.14267228809672</v>
      </c>
      <c r="U23" s="97">
        <f t="shared" si="24"/>
        <v>289.16135454597793</v>
      </c>
      <c r="V23" s="95">
        <f t="shared" si="24"/>
        <v>290.18464229483413</v>
      </c>
      <c r="W23" s="97">
        <f t="shared" si="24"/>
        <v>311.21255671296319</v>
      </c>
      <c r="X23" s="97">
        <f t="shared" si="24"/>
        <v>312.24511907826809</v>
      </c>
      <c r="Y23" s="97">
        <f t="shared" si="24"/>
        <v>313.28235076873909</v>
      </c>
      <c r="Z23" s="97">
        <f t="shared" si="24"/>
        <v>314.32427326293885</v>
      </c>
      <c r="AA23" s="97">
        <f t="shared" si="24"/>
        <v>315.37090814048821</v>
      </c>
      <c r="AB23" s="97">
        <f t="shared" si="24"/>
        <v>316.42227708255655</v>
      </c>
      <c r="AC23" s="97">
        <f t="shared" si="24"/>
        <v>317.47840187235329</v>
      </c>
      <c r="AD23" s="97">
        <f t="shared" si="24"/>
        <v>318.5393043956218</v>
      </c>
      <c r="AE23" s="97">
        <f t="shared" si="24"/>
        <v>319.60500664113647</v>
      </c>
      <c r="AF23" s="97">
        <f t="shared" si="24"/>
        <v>320.67553070120221</v>
      </c>
      <c r="AG23" s="97">
        <f t="shared" si="24"/>
        <v>321.75089877215532</v>
      </c>
      <c r="AH23" s="95">
        <f t="shared" si="24"/>
        <v>322.83113315486884</v>
      </c>
      <c r="AI23" s="97">
        <f t="shared" si="24"/>
        <v>323.91625625525847</v>
      </c>
      <c r="AJ23" s="97">
        <f t="shared" si="24"/>
        <v>325.0062905847924</v>
      </c>
      <c r="AK23" s="97">
        <f t="shared" si="24"/>
        <v>326.10125876100301</v>
      </c>
      <c r="AL23" s="97">
        <f t="shared" si="24"/>
        <v>327.20118350800141</v>
      </c>
      <c r="AM23" s="97">
        <f t="shared" si="24"/>
        <v>328.30608765699424</v>
      </c>
      <c r="AN23" s="97">
        <f t="shared" si="24"/>
        <v>329.41599414680377</v>
      </c>
      <c r="AO23" s="97">
        <f t="shared" si="24"/>
        <v>330.53092602438971</v>
      </c>
      <c r="AP23" s="97">
        <f t="shared" si="24"/>
        <v>331.65090644537452</v>
      </c>
      <c r="AQ23" s="97">
        <f t="shared" si="24"/>
        <v>332.77595867457035</v>
      </c>
      <c r="AR23" s="97">
        <f t="shared" si="24"/>
        <v>333.90610608650979</v>
      </c>
      <c r="AS23" s="97">
        <f t="shared" si="24"/>
        <v>335.04137216597837</v>
      </c>
      <c r="AT23" s="95">
        <f t="shared" si="24"/>
        <v>336.18178050855022</v>
      </c>
      <c r="AU23" s="97">
        <f t="shared" si="24"/>
        <v>337.32735482112616</v>
      </c>
      <c r="AV23" s="97">
        <f t="shared" si="24"/>
        <v>338.47811892247472</v>
      </c>
      <c r="AW23" s="97">
        <f t="shared" si="24"/>
        <v>339.63409674377573</v>
      </c>
      <c r="AX23" s="97">
        <f t="shared" si="24"/>
        <v>340.79531232916656</v>
      </c>
      <c r="AY23" s="97">
        <f t="shared" si="24"/>
        <v>341.9617898362917</v>
      </c>
      <c r="AZ23" s="97">
        <f t="shared" si="24"/>
        <v>343.13355353685392</v>
      </c>
      <c r="BA23" s="97">
        <f t="shared" si="24"/>
        <v>344.31062781717009</v>
      </c>
      <c r="BB23" s="97">
        <f t="shared" si="24"/>
        <v>345.49303717872704</v>
      </c>
      <c r="BC23" s="97">
        <f t="shared" si="24"/>
        <v>346.6808062387434</v>
      </c>
      <c r="BD23" s="97">
        <f t="shared" si="24"/>
        <v>347.8739597307316</v>
      </c>
      <c r="BE23" s="97">
        <f t="shared" si="24"/>
        <v>349.07252250506446</v>
      </c>
      <c r="BF23" s="95">
        <f t="shared" si="24"/>
        <v>350.27651952954375</v>
      </c>
      <c r="BG23" s="97">
        <f t="shared" si="24"/>
        <v>351.48597588997148</v>
      </c>
      <c r="BH23" s="97">
        <f t="shared" si="24"/>
        <v>352.7009167907255</v>
      </c>
      <c r="BI23" s="97">
        <f t="shared" si="24"/>
        <v>353.92136755533568</v>
      </c>
      <c r="BJ23" s="97">
        <f t="shared" si="24"/>
        <v>355.14735362706517</v>
      </c>
      <c r="BK23" s="97">
        <f t="shared" si="24"/>
        <v>356.37890056949288</v>
      </c>
      <c r="BL23" s="97">
        <f t="shared" si="24"/>
        <v>357.6160340671006</v>
      </c>
      <c r="BM23" s="97">
        <f t="shared" si="24"/>
        <v>358.85877992586177</v>
      </c>
      <c r="BN23" s="97">
        <f t="shared" si="24"/>
        <v>360.10716407383342</v>
      </c>
      <c r="BO23" s="97">
        <f t="shared" si="24"/>
        <v>361.36121256175164</v>
      </c>
      <c r="BP23" s="97">
        <f t="shared" si="24"/>
        <v>362.62095156362977</v>
      </c>
      <c r="BQ23" s="97">
        <f t="shared" si="24"/>
        <v>363.88640737735909</v>
      </c>
      <c r="BR23" s="95">
        <f t="shared" si="24"/>
        <v>365.15760642531399</v>
      </c>
    </row>
    <row r="24" spans="1:70" s="14" customFormat="1" ht="13.2" x14ac:dyDescent="0.3">
      <c r="A24" s="13"/>
      <c r="B24" s="5"/>
      <c r="C24" s="107" t="s">
        <v>185</v>
      </c>
      <c r="E24" s="98">
        <f t="shared" si="12"/>
        <v>120</v>
      </c>
      <c r="F24" s="98">
        <f t="shared" si="13"/>
        <v>150</v>
      </c>
      <c r="G24" s="98">
        <f t="shared" si="14"/>
        <v>150</v>
      </c>
      <c r="H24" s="98">
        <f t="shared" si="15"/>
        <v>150</v>
      </c>
      <c r="I24" s="98">
        <f t="shared" si="16"/>
        <v>150</v>
      </c>
      <c r="J24" s="16"/>
      <c r="K24" s="99">
        <f>Drivers!$F$6+Cash!K8</f>
        <v>100</v>
      </c>
      <c r="L24" s="99">
        <f>Cash!L8+K24</f>
        <v>100</v>
      </c>
      <c r="M24" s="99">
        <f>Cash!M8+L24</f>
        <v>100</v>
      </c>
      <c r="N24" s="99">
        <f>Cash!N8+M24</f>
        <v>100</v>
      </c>
      <c r="O24" s="99">
        <f>Cash!O8+N24</f>
        <v>100</v>
      </c>
      <c r="P24" s="99">
        <f>Cash!P8+O24</f>
        <v>120</v>
      </c>
      <c r="Q24" s="99">
        <f>Cash!Q8+P24</f>
        <v>120</v>
      </c>
      <c r="R24" s="99">
        <f>Cash!R8+Q24</f>
        <v>120</v>
      </c>
      <c r="S24" s="99">
        <f>Cash!S8+R24</f>
        <v>120</v>
      </c>
      <c r="T24" s="99">
        <f>Cash!T8+S24</f>
        <v>120</v>
      </c>
      <c r="U24" s="99">
        <f>Cash!U8+T24</f>
        <v>120</v>
      </c>
      <c r="V24" s="98">
        <f>Cash!V8+U24</f>
        <v>120</v>
      </c>
      <c r="W24" s="99">
        <f>Cash!W8+V24</f>
        <v>150</v>
      </c>
      <c r="X24" s="99">
        <f>Cash!X8+W24</f>
        <v>150</v>
      </c>
      <c r="Y24" s="99">
        <f>Cash!Y8+X24</f>
        <v>150</v>
      </c>
      <c r="Z24" s="99">
        <f>Cash!Z8+Y24</f>
        <v>150</v>
      </c>
      <c r="AA24" s="99">
        <f>Cash!AA8+Z24</f>
        <v>150</v>
      </c>
      <c r="AB24" s="99">
        <f>Cash!AB8+AA24</f>
        <v>150</v>
      </c>
      <c r="AC24" s="99">
        <f>Cash!AC8+AB24</f>
        <v>150</v>
      </c>
      <c r="AD24" s="99">
        <f>Cash!AD8+AC24</f>
        <v>150</v>
      </c>
      <c r="AE24" s="99">
        <f>Cash!AE8+AD24</f>
        <v>150</v>
      </c>
      <c r="AF24" s="99">
        <f>Cash!AF8+AE24</f>
        <v>150</v>
      </c>
      <c r="AG24" s="99">
        <f>Cash!AG8+AF24</f>
        <v>150</v>
      </c>
      <c r="AH24" s="98">
        <f>Cash!AH8+AG24</f>
        <v>150</v>
      </c>
      <c r="AI24" s="99">
        <f>Cash!AI8+AH24</f>
        <v>150</v>
      </c>
      <c r="AJ24" s="99">
        <f>Cash!AJ8+AI24</f>
        <v>150</v>
      </c>
      <c r="AK24" s="99">
        <f>Cash!AK8+AJ24</f>
        <v>150</v>
      </c>
      <c r="AL24" s="99">
        <f>Cash!AL8+AK24</f>
        <v>150</v>
      </c>
      <c r="AM24" s="99">
        <f>Cash!AM8+AL24</f>
        <v>150</v>
      </c>
      <c r="AN24" s="99">
        <f>Cash!AN8+AM24</f>
        <v>150</v>
      </c>
      <c r="AO24" s="99">
        <f>Cash!AO8+AN24</f>
        <v>150</v>
      </c>
      <c r="AP24" s="99">
        <f>Cash!AP8+AO24</f>
        <v>150</v>
      </c>
      <c r="AQ24" s="99">
        <f>Cash!AQ8+AP24</f>
        <v>150</v>
      </c>
      <c r="AR24" s="99">
        <f>Cash!AR8+AQ24</f>
        <v>150</v>
      </c>
      <c r="AS24" s="99">
        <f>Cash!AS8+AR24</f>
        <v>150</v>
      </c>
      <c r="AT24" s="98">
        <f>Cash!AT8+AS24</f>
        <v>150</v>
      </c>
      <c r="AU24" s="99">
        <f>Cash!AU8+AT24</f>
        <v>150</v>
      </c>
      <c r="AV24" s="99">
        <f>Cash!AV8+AU24</f>
        <v>150</v>
      </c>
      <c r="AW24" s="99">
        <f>Cash!AW8+AV24</f>
        <v>150</v>
      </c>
      <c r="AX24" s="99">
        <f>Cash!AX8+AW24</f>
        <v>150</v>
      </c>
      <c r="AY24" s="99">
        <f>Cash!AY8+AX24</f>
        <v>150</v>
      </c>
      <c r="AZ24" s="99">
        <f>Cash!AZ8+AY24</f>
        <v>150</v>
      </c>
      <c r="BA24" s="99">
        <f>Cash!BA8+AZ24</f>
        <v>150</v>
      </c>
      <c r="BB24" s="99">
        <f>Cash!BB8+BA24</f>
        <v>150</v>
      </c>
      <c r="BC24" s="99">
        <f>Cash!BC8+BB24</f>
        <v>150</v>
      </c>
      <c r="BD24" s="99">
        <f>Cash!BD8+BC24</f>
        <v>150</v>
      </c>
      <c r="BE24" s="99">
        <f>Cash!BE8+BD24</f>
        <v>150</v>
      </c>
      <c r="BF24" s="98">
        <f>Cash!BF8+BE24</f>
        <v>150</v>
      </c>
      <c r="BG24" s="99">
        <f>Cash!BG8+BF24</f>
        <v>150</v>
      </c>
      <c r="BH24" s="99">
        <f>Cash!BH8+BG24</f>
        <v>150</v>
      </c>
      <c r="BI24" s="99">
        <f>Cash!BI8+BH24</f>
        <v>150</v>
      </c>
      <c r="BJ24" s="99">
        <f>Cash!BJ8+BI24</f>
        <v>150</v>
      </c>
      <c r="BK24" s="99">
        <f>Cash!BK8+BJ24</f>
        <v>150</v>
      </c>
      <c r="BL24" s="99">
        <f>Cash!BL8+BK24</f>
        <v>150</v>
      </c>
      <c r="BM24" s="99">
        <f>Cash!BM8+BL24</f>
        <v>150</v>
      </c>
      <c r="BN24" s="99">
        <f>Cash!BN8+BM24</f>
        <v>150</v>
      </c>
      <c r="BO24" s="99">
        <f>Cash!BO8+BN24</f>
        <v>150</v>
      </c>
      <c r="BP24" s="99">
        <f>Cash!BP8+BO24</f>
        <v>150</v>
      </c>
      <c r="BQ24" s="99">
        <f>Cash!BQ8+BP24</f>
        <v>150</v>
      </c>
      <c r="BR24" s="98">
        <f>Cash!BR8+BQ24</f>
        <v>150</v>
      </c>
    </row>
    <row r="25" spans="1:70" s="75" customFormat="1" ht="13.2" x14ac:dyDescent="0.3">
      <c r="A25" s="13"/>
      <c r="B25" s="5"/>
      <c r="C25" s="49" t="s">
        <v>31</v>
      </c>
      <c r="D25" s="49"/>
      <c r="E25" s="96">
        <f t="shared" si="12"/>
        <v>410.18464229483413</v>
      </c>
      <c r="F25" s="96">
        <f t="shared" si="13"/>
        <v>472.83113315486884</v>
      </c>
      <c r="G25" s="96">
        <f t="shared" si="14"/>
        <v>486.18178050855022</v>
      </c>
      <c r="H25" s="96">
        <f t="shared" si="15"/>
        <v>500.27651952954375</v>
      </c>
      <c r="I25" s="96">
        <f t="shared" si="16"/>
        <v>515.15760642531404</v>
      </c>
      <c r="J25" s="77"/>
      <c r="K25" s="97">
        <f>SUM(K23:K24)</f>
        <v>369.17833333333328</v>
      </c>
      <c r="L25" s="97">
        <f t="shared" ref="L25:BR25" si="25">SUM(L23:L24)</f>
        <v>370.15650299650247</v>
      </c>
      <c r="M25" s="97">
        <f t="shared" si="25"/>
        <v>371.13909194984706</v>
      </c>
      <c r="N25" s="97">
        <f t="shared" si="25"/>
        <v>372.12612049651733</v>
      </c>
      <c r="O25" s="97">
        <f t="shared" si="25"/>
        <v>373.11760903503671</v>
      </c>
      <c r="P25" s="97">
        <f t="shared" si="25"/>
        <v>404.11357805976297</v>
      </c>
      <c r="Q25" s="97">
        <f t="shared" si="25"/>
        <v>405.11404816135143</v>
      </c>
      <c r="R25" s="97">
        <f t="shared" si="25"/>
        <v>406.11904002722036</v>
      </c>
      <c r="S25" s="97">
        <f t="shared" si="25"/>
        <v>407.12857444201882</v>
      </c>
      <c r="T25" s="97">
        <f t="shared" si="25"/>
        <v>408.14267228809672</v>
      </c>
      <c r="U25" s="97">
        <f t="shared" si="25"/>
        <v>409.16135454597793</v>
      </c>
      <c r="V25" s="96">
        <f t="shared" si="25"/>
        <v>410.18464229483413</v>
      </c>
      <c r="W25" s="97">
        <f t="shared" si="25"/>
        <v>461.21255671296319</v>
      </c>
      <c r="X25" s="97">
        <f t="shared" si="25"/>
        <v>462.24511907826809</v>
      </c>
      <c r="Y25" s="97">
        <f t="shared" si="25"/>
        <v>463.28235076873909</v>
      </c>
      <c r="Z25" s="97">
        <f t="shared" si="25"/>
        <v>464.32427326293885</v>
      </c>
      <c r="AA25" s="97">
        <f t="shared" si="25"/>
        <v>465.37090814048821</v>
      </c>
      <c r="AB25" s="97">
        <f t="shared" si="25"/>
        <v>466.42227708255655</v>
      </c>
      <c r="AC25" s="97">
        <f t="shared" si="25"/>
        <v>467.47840187235329</v>
      </c>
      <c r="AD25" s="97">
        <f t="shared" si="25"/>
        <v>468.5393043956218</v>
      </c>
      <c r="AE25" s="97">
        <f t="shared" si="25"/>
        <v>469.60500664113647</v>
      </c>
      <c r="AF25" s="97">
        <f t="shared" si="25"/>
        <v>470.67553070120221</v>
      </c>
      <c r="AG25" s="97">
        <f t="shared" si="25"/>
        <v>471.75089877215532</v>
      </c>
      <c r="AH25" s="96">
        <f t="shared" si="25"/>
        <v>472.83113315486884</v>
      </c>
      <c r="AI25" s="97">
        <f t="shared" si="25"/>
        <v>473.91625625525847</v>
      </c>
      <c r="AJ25" s="97">
        <f t="shared" si="25"/>
        <v>475.0062905847924</v>
      </c>
      <c r="AK25" s="97">
        <f t="shared" si="25"/>
        <v>476.10125876100301</v>
      </c>
      <c r="AL25" s="97">
        <f t="shared" si="25"/>
        <v>477.20118350800141</v>
      </c>
      <c r="AM25" s="97">
        <f t="shared" si="25"/>
        <v>478.30608765699424</v>
      </c>
      <c r="AN25" s="97">
        <f t="shared" si="25"/>
        <v>479.41599414680377</v>
      </c>
      <c r="AO25" s="97">
        <f t="shared" si="25"/>
        <v>480.53092602438971</v>
      </c>
      <c r="AP25" s="97">
        <f t="shared" si="25"/>
        <v>481.65090644537452</v>
      </c>
      <c r="AQ25" s="97">
        <f t="shared" si="25"/>
        <v>482.77595867457035</v>
      </c>
      <c r="AR25" s="97">
        <f t="shared" si="25"/>
        <v>483.90610608650979</v>
      </c>
      <c r="AS25" s="97">
        <f t="shared" si="25"/>
        <v>485.04137216597837</v>
      </c>
      <c r="AT25" s="96">
        <f t="shared" si="25"/>
        <v>486.18178050855022</v>
      </c>
      <c r="AU25" s="97">
        <f t="shared" si="25"/>
        <v>487.32735482112616</v>
      </c>
      <c r="AV25" s="97">
        <f t="shared" si="25"/>
        <v>488.47811892247472</v>
      </c>
      <c r="AW25" s="97">
        <f t="shared" si="25"/>
        <v>489.63409674377573</v>
      </c>
      <c r="AX25" s="97">
        <f t="shared" si="25"/>
        <v>490.79531232916656</v>
      </c>
      <c r="AY25" s="97">
        <f t="shared" si="25"/>
        <v>491.9617898362917</v>
      </c>
      <c r="AZ25" s="97">
        <f t="shared" si="25"/>
        <v>493.13355353685392</v>
      </c>
      <c r="BA25" s="97">
        <f t="shared" si="25"/>
        <v>494.31062781717009</v>
      </c>
      <c r="BB25" s="97">
        <f t="shared" si="25"/>
        <v>495.49303717872704</v>
      </c>
      <c r="BC25" s="97">
        <f t="shared" si="25"/>
        <v>496.6808062387434</v>
      </c>
      <c r="BD25" s="97">
        <f t="shared" si="25"/>
        <v>497.8739597307316</v>
      </c>
      <c r="BE25" s="97">
        <f t="shared" si="25"/>
        <v>499.07252250506446</v>
      </c>
      <c r="BF25" s="96">
        <f t="shared" si="25"/>
        <v>500.27651952954375</v>
      </c>
      <c r="BG25" s="97">
        <f t="shared" si="25"/>
        <v>501.48597588997148</v>
      </c>
      <c r="BH25" s="97">
        <f t="shared" si="25"/>
        <v>502.7009167907255</v>
      </c>
      <c r="BI25" s="97">
        <f t="shared" si="25"/>
        <v>503.92136755533568</v>
      </c>
      <c r="BJ25" s="97">
        <f t="shared" si="25"/>
        <v>505.14735362706517</v>
      </c>
      <c r="BK25" s="97">
        <f t="shared" si="25"/>
        <v>506.37890056949288</v>
      </c>
      <c r="BL25" s="97">
        <f t="shared" si="25"/>
        <v>507.6160340671006</v>
      </c>
      <c r="BM25" s="97">
        <f t="shared" si="25"/>
        <v>508.85877992586177</v>
      </c>
      <c r="BN25" s="97">
        <f t="shared" si="25"/>
        <v>510.10716407383342</v>
      </c>
      <c r="BO25" s="97">
        <f t="shared" si="25"/>
        <v>511.36121256175164</v>
      </c>
      <c r="BP25" s="97">
        <f t="shared" si="25"/>
        <v>512.62095156362977</v>
      </c>
      <c r="BQ25" s="97">
        <f t="shared" si="25"/>
        <v>513.88640737735909</v>
      </c>
      <c r="BR25" s="96">
        <f t="shared" si="25"/>
        <v>515.15760642531404</v>
      </c>
    </row>
    <row r="26" spans="1:70" s="14" customFormat="1" ht="13.2" x14ac:dyDescent="0.3">
      <c r="A26" s="43"/>
      <c r="B26" s="5"/>
      <c r="C26" s="61" t="s">
        <v>85</v>
      </c>
      <c r="E26" s="89">
        <f t="shared" ref="E26" si="26">V26</f>
        <v>55</v>
      </c>
      <c r="F26" s="89">
        <f t="shared" ref="F26" si="27">AH26</f>
        <v>115</v>
      </c>
      <c r="G26" s="89">
        <f t="shared" ref="G26" si="28">AT26</f>
        <v>115</v>
      </c>
      <c r="H26" s="89">
        <f t="shared" ref="H26" si="29">BF26</f>
        <v>115</v>
      </c>
      <c r="I26" s="89">
        <f t="shared" ref="I26" si="30">BR26</f>
        <v>115</v>
      </c>
      <c r="J26" s="88"/>
      <c r="K26" s="90">
        <f>Drivers!$D$6+Cash!K6</f>
        <v>40</v>
      </c>
      <c r="L26" s="91">
        <f>Cash!L6+K26</f>
        <v>40</v>
      </c>
      <c r="M26" s="91">
        <f>Cash!M6+L26</f>
        <v>40</v>
      </c>
      <c r="N26" s="91">
        <f>Cash!N6+M26</f>
        <v>40</v>
      </c>
      <c r="O26" s="91">
        <f>Cash!O6+N26</f>
        <v>40</v>
      </c>
      <c r="P26" s="91">
        <f>Cash!P6+O26</f>
        <v>55</v>
      </c>
      <c r="Q26" s="91">
        <f>Cash!Q6+P26</f>
        <v>55</v>
      </c>
      <c r="R26" s="91">
        <f>Cash!R6+Q26</f>
        <v>55</v>
      </c>
      <c r="S26" s="91">
        <f>Cash!S6+R26</f>
        <v>55</v>
      </c>
      <c r="T26" s="91">
        <f>Cash!T6+S26</f>
        <v>55</v>
      </c>
      <c r="U26" s="91">
        <f>Cash!U6+T26</f>
        <v>55</v>
      </c>
      <c r="V26" s="89">
        <f>Cash!V6+U26</f>
        <v>55</v>
      </c>
      <c r="W26" s="90">
        <f>Cash!W6+V26</f>
        <v>115</v>
      </c>
      <c r="X26" s="91">
        <f>Cash!X6+W26</f>
        <v>115</v>
      </c>
      <c r="Y26" s="91">
        <f>Cash!Y6+X26</f>
        <v>115</v>
      </c>
      <c r="Z26" s="91">
        <f>Cash!Z6+Y26</f>
        <v>115</v>
      </c>
      <c r="AA26" s="91">
        <f>Cash!AA6+Z26</f>
        <v>115</v>
      </c>
      <c r="AB26" s="91">
        <f>Cash!AB6+AA26</f>
        <v>115</v>
      </c>
      <c r="AC26" s="91">
        <f>Cash!AC6+AB26</f>
        <v>115</v>
      </c>
      <c r="AD26" s="91">
        <f>Cash!AD6+AC26</f>
        <v>115</v>
      </c>
      <c r="AE26" s="91">
        <f>Cash!AE6+AD26</f>
        <v>115</v>
      </c>
      <c r="AF26" s="91">
        <f>Cash!AF6+AE26</f>
        <v>115</v>
      </c>
      <c r="AG26" s="91">
        <f>Cash!AG6+AF26</f>
        <v>115</v>
      </c>
      <c r="AH26" s="89">
        <f>Cash!AH6+AG26</f>
        <v>115</v>
      </c>
      <c r="AI26" s="90">
        <f>Cash!AI6+AH26</f>
        <v>115</v>
      </c>
      <c r="AJ26" s="91">
        <f>Cash!AJ6+AI26</f>
        <v>115</v>
      </c>
      <c r="AK26" s="91">
        <f>Cash!AK6+AJ26</f>
        <v>115</v>
      </c>
      <c r="AL26" s="91">
        <f>Cash!AL6+AK26</f>
        <v>115</v>
      </c>
      <c r="AM26" s="91">
        <f>Cash!AM6+AL26</f>
        <v>115</v>
      </c>
      <c r="AN26" s="91">
        <f>Cash!AN6+AM26</f>
        <v>115</v>
      </c>
      <c r="AO26" s="91">
        <f>Cash!AO6+AN26</f>
        <v>115</v>
      </c>
      <c r="AP26" s="91">
        <f>Cash!AP6+AO26</f>
        <v>115</v>
      </c>
      <c r="AQ26" s="91">
        <f>Cash!AQ6+AP26</f>
        <v>115</v>
      </c>
      <c r="AR26" s="91">
        <f>Cash!AR6+AQ26</f>
        <v>115</v>
      </c>
      <c r="AS26" s="91">
        <f>Cash!AS6+AR26</f>
        <v>115</v>
      </c>
      <c r="AT26" s="89">
        <f>Cash!AT6+AS26</f>
        <v>115</v>
      </c>
      <c r="AU26" s="90">
        <f>Cash!AU6+AT26</f>
        <v>115</v>
      </c>
      <c r="AV26" s="91">
        <f>Cash!AV6+AU26</f>
        <v>115</v>
      </c>
      <c r="AW26" s="91">
        <f>Cash!AW6+AV26</f>
        <v>115</v>
      </c>
      <c r="AX26" s="91">
        <f>Cash!AX6+AW26</f>
        <v>115</v>
      </c>
      <c r="AY26" s="91">
        <f>Cash!AY6+AX26</f>
        <v>115</v>
      </c>
      <c r="AZ26" s="91">
        <f>Cash!AZ6+AY26</f>
        <v>115</v>
      </c>
      <c r="BA26" s="91">
        <f>Cash!BA6+AZ26</f>
        <v>115</v>
      </c>
      <c r="BB26" s="91">
        <f>Cash!BB6+BA26</f>
        <v>115</v>
      </c>
      <c r="BC26" s="91">
        <f>Cash!BC6+BB26</f>
        <v>115</v>
      </c>
      <c r="BD26" s="91">
        <f>Cash!BD6+BC26</f>
        <v>115</v>
      </c>
      <c r="BE26" s="91">
        <f>Cash!BE6+BD26</f>
        <v>115</v>
      </c>
      <c r="BF26" s="89">
        <f>Cash!BF6+BE26</f>
        <v>115</v>
      </c>
      <c r="BG26" s="90">
        <f>Cash!BG6+BF26</f>
        <v>115</v>
      </c>
      <c r="BH26" s="91">
        <f>Cash!BH6+BG26</f>
        <v>115</v>
      </c>
      <c r="BI26" s="91">
        <f>Cash!BI6+BH26</f>
        <v>115</v>
      </c>
      <c r="BJ26" s="91">
        <f>Cash!BJ6+BI26</f>
        <v>115</v>
      </c>
      <c r="BK26" s="91">
        <f>Cash!BK6+BJ26</f>
        <v>115</v>
      </c>
      <c r="BL26" s="91">
        <f>Cash!BL6+BK26</f>
        <v>115</v>
      </c>
      <c r="BM26" s="91">
        <f>Cash!BM6+BL26</f>
        <v>115</v>
      </c>
      <c r="BN26" s="91">
        <f>Cash!BN6+BM26</f>
        <v>115</v>
      </c>
      <c r="BO26" s="91">
        <f>Cash!BO6+BN26</f>
        <v>115</v>
      </c>
      <c r="BP26" s="91">
        <f>Cash!BP6+BO26</f>
        <v>115</v>
      </c>
      <c r="BQ26" s="91">
        <f>Cash!BQ6+BP26</f>
        <v>115</v>
      </c>
      <c r="BR26" s="89">
        <f>Cash!BR6+BQ26</f>
        <v>115</v>
      </c>
    </row>
    <row r="27" spans="1:70" s="14" customFormat="1" ht="13.2" x14ac:dyDescent="0.3">
      <c r="A27" s="13"/>
      <c r="B27" s="5"/>
      <c r="C27" s="111" t="s">
        <v>45</v>
      </c>
      <c r="E27" s="112">
        <f ca="1">V27</f>
        <v>310.6480410573194</v>
      </c>
      <c r="F27" s="112">
        <f ca="1">AH27</f>
        <v>656.8033968516836</v>
      </c>
      <c r="G27" s="112">
        <f ca="1">AT27</f>
        <v>1086.8897560908433</v>
      </c>
      <c r="H27" s="112">
        <f ca="1">BF27</f>
        <v>1556.9344655346626</v>
      </c>
      <c r="I27" s="112">
        <f ca="1">BR27</f>
        <v>2069.406271251275</v>
      </c>
      <c r="J27" s="16"/>
      <c r="K27" s="99">
        <f ca="1">Income!K26</f>
        <v>28.537500000000012</v>
      </c>
      <c r="L27" s="99">
        <f ca="1">Income!L26</f>
        <v>57.307497597555795</v>
      </c>
      <c r="M27" s="99">
        <f ca="1">Income!M26</f>
        <v>86.311178109361464</v>
      </c>
      <c r="N27" s="99">
        <f ca="1">Income!N26</f>
        <v>115.54973233549799</v>
      </c>
      <c r="O27" s="99">
        <f ca="1">Income!O26</f>
        <v>145.02435658394128</v>
      </c>
      <c r="P27" s="99">
        <f ca="1">Income!P26</f>
        <v>153.29523456851723</v>
      </c>
      <c r="Q27" s="99">
        <f ca="1">Income!Q26</f>
        <v>178.83739565455437</v>
      </c>
      <c r="R27" s="99">
        <f ca="1">Income!R26</f>
        <v>204.61924898089583</v>
      </c>
      <c r="S27" s="99">
        <f ca="1">Income!S26</f>
        <v>230.64201313434131</v>
      </c>
      <c r="T27" s="99">
        <f ca="1">Income!T26</f>
        <v>256.90691233375287</v>
      </c>
      <c r="U27" s="99">
        <f ca="1">Income!U26</f>
        <v>283.65517645521737</v>
      </c>
      <c r="V27" s="112">
        <f ca="1">Income!V26</f>
        <v>310.6480410573194</v>
      </c>
      <c r="W27" s="99">
        <f ca="1">Income!W26</f>
        <v>321.37645734415213</v>
      </c>
      <c r="X27" s="99">
        <f ca="1">Income!X26</f>
        <v>348.66100244030775</v>
      </c>
      <c r="Y27" s="99">
        <f ca="1">Income!Y26</f>
        <v>376.19388904224405</v>
      </c>
      <c r="Z27" s="99">
        <f ca="1">Income!Z26</f>
        <v>403.97637569349962</v>
      </c>
      <c r="AA27" s="99">
        <f ca="1">Income!AA26</f>
        <v>432.00972674815449</v>
      </c>
      <c r="AB27" s="99">
        <f ca="1">Income!AB26</f>
        <v>460.29521239677791</v>
      </c>
      <c r="AC27" s="99">
        <f ca="1">Income!AC26</f>
        <v>488.83410869249013</v>
      </c>
      <c r="AD27" s="99">
        <f ca="1">Income!AD26</f>
        <v>521.91341186285342</v>
      </c>
      <c r="AE27" s="99">
        <f ca="1">Income!AE26</f>
        <v>555.24869547902085</v>
      </c>
      <c r="AF27" s="99">
        <f ca="1">Income!AF26</f>
        <v>588.84125333928671</v>
      </c>
      <c r="AG27" s="99">
        <f ca="1">Income!AG26</f>
        <v>622.69238520989575</v>
      </c>
      <c r="AH27" s="112">
        <f ca="1">Income!AH26</f>
        <v>656.8033968516836</v>
      </c>
      <c r="AI27" s="99">
        <f ca="1">Income!AI26</f>
        <v>691.17560004683401</v>
      </c>
      <c r="AJ27" s="99">
        <f ca="1">Income!AJ26</f>
        <v>725.81031262575425</v>
      </c>
      <c r="AK27" s="99">
        <f ca="1">Income!AK26</f>
        <v>760.70885849406852</v>
      </c>
      <c r="AL27" s="99">
        <f ca="1">Income!AL26</f>
        <v>795.87256765973007</v>
      </c>
      <c r="AM27" s="99">
        <f ca="1">Income!AM26</f>
        <v>831.30277626025247</v>
      </c>
      <c r="AN27" s="99">
        <f ca="1">Income!AN26</f>
        <v>867.00082659006102</v>
      </c>
      <c r="AO27" s="99">
        <f ca="1">Income!AO26</f>
        <v>902.96806712796399</v>
      </c>
      <c r="AP27" s="99">
        <f ca="1">Income!AP26</f>
        <v>939.2058525647451</v>
      </c>
      <c r="AQ27" s="99">
        <f ca="1">Income!AQ26</f>
        <v>975.71554383087698</v>
      </c>
      <c r="AR27" s="99">
        <f ca="1">Income!AR26</f>
        <v>1012.4985081243569</v>
      </c>
      <c r="AS27" s="99">
        <f ca="1">Income!AS26</f>
        <v>1049.5561189386647</v>
      </c>
      <c r="AT27" s="112">
        <f ca="1">Income!AT26</f>
        <v>1086.8897560908433</v>
      </c>
      <c r="AU27" s="99">
        <f ca="1">Income!AU26</f>
        <v>1124.5008057497037</v>
      </c>
      <c r="AV27" s="99">
        <f ca="1">Income!AV26</f>
        <v>1162.3906604641527</v>
      </c>
      <c r="AW27" s="99">
        <f ca="1">Income!AW26</f>
        <v>1200.5607191916465</v>
      </c>
      <c r="AX27" s="99">
        <f ca="1">Income!AX26</f>
        <v>1239.012387326768</v>
      </c>
      <c r="AY27" s="99">
        <f ca="1">Income!AY26</f>
        <v>1277.7470767299315</v>
      </c>
      <c r="AZ27" s="99">
        <f ca="1">Income!AZ26</f>
        <v>1316.7662057562113</v>
      </c>
      <c r="BA27" s="99">
        <f ca="1">Income!BA26</f>
        <v>1356.0711992843001</v>
      </c>
      <c r="BB27" s="99">
        <f ca="1">Income!BB26</f>
        <v>1395.6634887455912</v>
      </c>
      <c r="BC27" s="99">
        <f ca="1">Income!BC26</f>
        <v>1435.5445121533912</v>
      </c>
      <c r="BD27" s="99">
        <f ca="1">Income!BD26</f>
        <v>1475.7157141322609</v>
      </c>
      <c r="BE27" s="99">
        <f ca="1">Income!BE26</f>
        <v>1516.1785459474831</v>
      </c>
      <c r="BF27" s="112">
        <f ca="1">Income!BF26</f>
        <v>1556.9344655346626</v>
      </c>
      <c r="BG27" s="99">
        <f ca="1">Income!BG26</f>
        <v>1597.9849375294546</v>
      </c>
      <c r="BH27" s="99">
        <f ca="1">Income!BH26</f>
        <v>1639.3314332974237</v>
      </c>
      <c r="BI27" s="99">
        <f ca="1">Income!BI26</f>
        <v>1680.9754309640359</v>
      </c>
      <c r="BJ27" s="99">
        <f ca="1">Income!BJ26</f>
        <v>1722.9184154447805</v>
      </c>
      <c r="BK27" s="99">
        <f ca="1">Income!BK26</f>
        <v>1765.1618784754255</v>
      </c>
      <c r="BL27" s="99">
        <f ca="1">Income!BL26</f>
        <v>1807.7073186424047</v>
      </c>
      <c r="BM27" s="99">
        <f ca="1">Income!BM26</f>
        <v>1850.5562414133408</v>
      </c>
      <c r="BN27" s="99">
        <f ca="1">Income!BN26</f>
        <v>1893.7101591676999</v>
      </c>
      <c r="BO27" s="99">
        <f ca="1">Income!BO26</f>
        <v>1937.170591227582</v>
      </c>
      <c r="BP27" s="99">
        <f ca="1">Income!BP26</f>
        <v>1980.9390638886475</v>
      </c>
      <c r="BQ27" s="99">
        <f ca="1">Income!BQ26</f>
        <v>2025.017110451178</v>
      </c>
      <c r="BR27" s="112">
        <f ca="1">Income!BR26</f>
        <v>2069.406271251275</v>
      </c>
    </row>
    <row r="28" spans="1:70" s="75" customFormat="1" ht="13.2" x14ac:dyDescent="0.3">
      <c r="A28" s="5"/>
      <c r="B28" s="5"/>
      <c r="C28" s="49" t="s">
        <v>32</v>
      </c>
      <c r="D28" s="49"/>
      <c r="E28" s="96">
        <f ca="1">V28</f>
        <v>365.6480410573194</v>
      </c>
      <c r="F28" s="96">
        <f ca="1">AH28</f>
        <v>771.8033968516836</v>
      </c>
      <c r="G28" s="96">
        <f ca="1">AT28</f>
        <v>1201.8897560908433</v>
      </c>
      <c r="H28" s="96">
        <f ca="1">BF28</f>
        <v>1671.9344655346626</v>
      </c>
      <c r="I28" s="96">
        <f ca="1">BR28</f>
        <v>2184.406271251275</v>
      </c>
      <c r="J28" s="49"/>
      <c r="K28" s="97">
        <f t="shared" ref="K28:AP28" ca="1" si="31">SUM(K26:K27)</f>
        <v>68.537500000000009</v>
      </c>
      <c r="L28" s="97">
        <f t="shared" ca="1" si="31"/>
        <v>97.307497597555795</v>
      </c>
      <c r="M28" s="97">
        <f t="shared" ca="1" si="31"/>
        <v>126.31117810936146</v>
      </c>
      <c r="N28" s="97">
        <f t="shared" ca="1" si="31"/>
        <v>155.54973233549799</v>
      </c>
      <c r="O28" s="97">
        <f t="shared" ca="1" si="31"/>
        <v>185.02435658394128</v>
      </c>
      <c r="P28" s="97">
        <f t="shared" ca="1" si="31"/>
        <v>208.29523456851723</v>
      </c>
      <c r="Q28" s="97">
        <f t="shared" ca="1" si="31"/>
        <v>233.83739565455437</v>
      </c>
      <c r="R28" s="97">
        <f t="shared" ca="1" si="31"/>
        <v>259.6192489808958</v>
      </c>
      <c r="S28" s="97">
        <f t="shared" ca="1" si="31"/>
        <v>285.64201313434131</v>
      </c>
      <c r="T28" s="97">
        <f t="shared" ca="1" si="31"/>
        <v>311.90691233375287</v>
      </c>
      <c r="U28" s="97">
        <f t="shared" ca="1" si="31"/>
        <v>338.65517645521737</v>
      </c>
      <c r="V28" s="96">
        <f t="shared" ca="1" si="31"/>
        <v>365.6480410573194</v>
      </c>
      <c r="W28" s="97">
        <f t="shared" ca="1" si="31"/>
        <v>436.37645734415213</v>
      </c>
      <c r="X28" s="97">
        <f t="shared" ca="1" si="31"/>
        <v>463.66100244030775</v>
      </c>
      <c r="Y28" s="97">
        <f t="shared" ca="1" si="31"/>
        <v>491.19388904224405</v>
      </c>
      <c r="Z28" s="97">
        <f t="shared" ca="1" si="31"/>
        <v>518.97637569349968</v>
      </c>
      <c r="AA28" s="97">
        <f t="shared" ca="1" si="31"/>
        <v>547.00972674815443</v>
      </c>
      <c r="AB28" s="97">
        <f t="shared" ca="1" si="31"/>
        <v>575.29521239677797</v>
      </c>
      <c r="AC28" s="97">
        <f t="shared" ca="1" si="31"/>
        <v>603.83410869249019</v>
      </c>
      <c r="AD28" s="97">
        <f t="shared" ca="1" si="31"/>
        <v>636.91341186285342</v>
      </c>
      <c r="AE28" s="97">
        <f t="shared" ca="1" si="31"/>
        <v>670.24869547902085</v>
      </c>
      <c r="AF28" s="97">
        <f t="shared" ca="1" si="31"/>
        <v>703.84125333928671</v>
      </c>
      <c r="AG28" s="97">
        <f t="shared" ca="1" si="31"/>
        <v>737.69238520989575</v>
      </c>
      <c r="AH28" s="96">
        <f t="shared" ca="1" si="31"/>
        <v>771.8033968516836</v>
      </c>
      <c r="AI28" s="97">
        <f t="shared" ca="1" si="31"/>
        <v>806.17560004683401</v>
      </c>
      <c r="AJ28" s="97">
        <f t="shared" ca="1" si="31"/>
        <v>840.81031262575425</v>
      </c>
      <c r="AK28" s="97">
        <f t="shared" ca="1" si="31"/>
        <v>875.70885849406852</v>
      </c>
      <c r="AL28" s="97">
        <f t="shared" ca="1" si="31"/>
        <v>910.87256765973007</v>
      </c>
      <c r="AM28" s="97">
        <f t="shared" ca="1" si="31"/>
        <v>946.30277626025247</v>
      </c>
      <c r="AN28" s="97">
        <f t="shared" ca="1" si="31"/>
        <v>982.00082659006102</v>
      </c>
      <c r="AO28" s="97">
        <f t="shared" ca="1" si="31"/>
        <v>1017.968067127964</v>
      </c>
      <c r="AP28" s="97">
        <f t="shared" ca="1" si="31"/>
        <v>1054.2058525647451</v>
      </c>
      <c r="AQ28" s="97">
        <f t="shared" ref="AQ28:BR28" ca="1" si="32">SUM(AQ26:AQ27)</f>
        <v>1090.7155438308769</v>
      </c>
      <c r="AR28" s="97">
        <f t="shared" ca="1" si="32"/>
        <v>1127.4985081243569</v>
      </c>
      <c r="AS28" s="97">
        <f t="shared" ca="1" si="32"/>
        <v>1164.5561189386647</v>
      </c>
      <c r="AT28" s="96">
        <f t="shared" ca="1" si="32"/>
        <v>1201.8897560908433</v>
      </c>
      <c r="AU28" s="97">
        <f t="shared" ca="1" si="32"/>
        <v>1239.5008057497037</v>
      </c>
      <c r="AV28" s="97">
        <f t="shared" ca="1" si="32"/>
        <v>1277.3906604641527</v>
      </c>
      <c r="AW28" s="97">
        <f t="shared" ca="1" si="32"/>
        <v>1315.5607191916465</v>
      </c>
      <c r="AX28" s="97">
        <f t="shared" ca="1" si="32"/>
        <v>1354.012387326768</v>
      </c>
      <c r="AY28" s="97">
        <f t="shared" ca="1" si="32"/>
        <v>1392.7470767299315</v>
      </c>
      <c r="AZ28" s="97">
        <f t="shared" ca="1" si="32"/>
        <v>1431.7662057562113</v>
      </c>
      <c r="BA28" s="97">
        <f t="shared" ca="1" si="32"/>
        <v>1471.0711992843001</v>
      </c>
      <c r="BB28" s="97">
        <f t="shared" ca="1" si="32"/>
        <v>1510.6634887455912</v>
      </c>
      <c r="BC28" s="97">
        <f t="shared" ca="1" si="32"/>
        <v>1550.5445121533912</v>
      </c>
      <c r="BD28" s="97">
        <f t="shared" ca="1" si="32"/>
        <v>1590.7157141322609</v>
      </c>
      <c r="BE28" s="97">
        <f t="shared" ca="1" si="32"/>
        <v>1631.1785459474831</v>
      </c>
      <c r="BF28" s="96">
        <f t="shared" ca="1" si="32"/>
        <v>1671.9344655346626</v>
      </c>
      <c r="BG28" s="97">
        <f t="shared" ca="1" si="32"/>
        <v>1712.9849375294546</v>
      </c>
      <c r="BH28" s="97">
        <f t="shared" ca="1" si="32"/>
        <v>1754.3314332974237</v>
      </c>
      <c r="BI28" s="97">
        <f t="shared" ca="1" si="32"/>
        <v>1795.9754309640359</v>
      </c>
      <c r="BJ28" s="97">
        <f t="shared" ca="1" si="32"/>
        <v>1837.9184154447805</v>
      </c>
      <c r="BK28" s="97">
        <f t="shared" ca="1" si="32"/>
        <v>1880.1618784754255</v>
      </c>
      <c r="BL28" s="97">
        <f t="shared" ca="1" si="32"/>
        <v>1922.7073186424047</v>
      </c>
      <c r="BM28" s="97">
        <f t="shared" ca="1" si="32"/>
        <v>1965.5562414133408</v>
      </c>
      <c r="BN28" s="97">
        <f t="shared" ca="1" si="32"/>
        <v>2008.7101591676999</v>
      </c>
      <c r="BO28" s="97">
        <f t="shared" ca="1" si="32"/>
        <v>2052.170591227582</v>
      </c>
      <c r="BP28" s="97">
        <f t="shared" ca="1" si="32"/>
        <v>2095.9390638886475</v>
      </c>
      <c r="BQ28" s="97">
        <f t="shared" ca="1" si="32"/>
        <v>2140.0171104511783</v>
      </c>
      <c r="BR28" s="96">
        <f t="shared" ca="1" si="32"/>
        <v>2184.406271251275</v>
      </c>
    </row>
    <row r="29" spans="1:70" s="14" customFormat="1" ht="6" customHeight="1" x14ac:dyDescent="0.25">
      <c r="A29" s="5"/>
      <c r="B29" s="5"/>
      <c r="C29" s="56"/>
      <c r="E29" s="49"/>
      <c r="F29" s="49"/>
      <c r="G29" s="49"/>
      <c r="H29" s="49"/>
      <c r="I29" s="49"/>
      <c r="V29" s="49"/>
      <c r="AH29" s="49"/>
      <c r="AT29" s="49"/>
      <c r="BF29" s="49"/>
      <c r="BR29" s="49"/>
    </row>
    <row r="30" spans="1:70" s="104" customFormat="1" ht="12" x14ac:dyDescent="0.25">
      <c r="A30" s="13"/>
      <c r="B30" s="5"/>
      <c r="C30" s="101" t="s">
        <v>74</v>
      </c>
      <c r="D30" s="102"/>
      <c r="E30" s="103" t="str">
        <f ca="1">IF(ABS(E19-E25-E28)&lt;0.0001,"✔","✕")</f>
        <v>✔</v>
      </c>
      <c r="F30" s="103" t="str">
        <f ca="1">IF(ABS(F19-F25-F28)&lt;0.0001,"✔","✕")</f>
        <v>✔</v>
      </c>
      <c r="G30" s="103" t="str">
        <f ca="1">IF(ABS(G19-G25-G28)&lt;0.0001,"✔","✕")</f>
        <v>✔</v>
      </c>
      <c r="H30" s="103" t="str">
        <f ca="1">IF(ABS(H19-H25-H28)&lt;0.0001,"✔","✕")</f>
        <v>✔</v>
      </c>
      <c r="I30" s="103" t="str">
        <f ca="1">IF(ABS(I19-I25-I28)&lt;0.0001,"✔","✕")</f>
        <v>✔</v>
      </c>
      <c r="J30" s="101"/>
      <c r="K30" s="103" t="str">
        <f t="shared" ref="K30:AP30" ca="1" si="33">IF(ABS(K19-K25-K28)&lt;0.0001,"✔","✕")</f>
        <v>✔</v>
      </c>
      <c r="L30" s="103" t="str">
        <f t="shared" ca="1" si="33"/>
        <v>✔</v>
      </c>
      <c r="M30" s="103" t="str">
        <f t="shared" ca="1" si="33"/>
        <v>✔</v>
      </c>
      <c r="N30" s="103" t="str">
        <f t="shared" ca="1" si="33"/>
        <v>✔</v>
      </c>
      <c r="O30" s="103" t="str">
        <f t="shared" ca="1" si="33"/>
        <v>✔</v>
      </c>
      <c r="P30" s="103" t="str">
        <f t="shared" ca="1" si="33"/>
        <v>✔</v>
      </c>
      <c r="Q30" s="103" t="str">
        <f t="shared" ca="1" si="33"/>
        <v>✔</v>
      </c>
      <c r="R30" s="103" t="str">
        <f t="shared" ca="1" si="33"/>
        <v>✔</v>
      </c>
      <c r="S30" s="103" t="str">
        <f t="shared" ca="1" si="33"/>
        <v>✔</v>
      </c>
      <c r="T30" s="103" t="str">
        <f t="shared" ca="1" si="33"/>
        <v>✔</v>
      </c>
      <c r="U30" s="103" t="str">
        <f t="shared" ca="1" si="33"/>
        <v>✔</v>
      </c>
      <c r="V30" s="103" t="str">
        <f t="shared" ca="1" si="33"/>
        <v>✔</v>
      </c>
      <c r="W30" s="103" t="str">
        <f t="shared" ca="1" si="33"/>
        <v>✔</v>
      </c>
      <c r="X30" s="103" t="str">
        <f t="shared" ca="1" si="33"/>
        <v>✔</v>
      </c>
      <c r="Y30" s="103" t="str">
        <f t="shared" ca="1" si="33"/>
        <v>✔</v>
      </c>
      <c r="Z30" s="103" t="str">
        <f t="shared" ca="1" si="33"/>
        <v>✔</v>
      </c>
      <c r="AA30" s="103" t="str">
        <f t="shared" ca="1" si="33"/>
        <v>✔</v>
      </c>
      <c r="AB30" s="103" t="str">
        <f t="shared" ca="1" si="33"/>
        <v>✔</v>
      </c>
      <c r="AC30" s="103" t="str">
        <f t="shared" ca="1" si="33"/>
        <v>✔</v>
      </c>
      <c r="AD30" s="103" t="str">
        <f t="shared" ca="1" si="33"/>
        <v>✔</v>
      </c>
      <c r="AE30" s="103" t="str">
        <f t="shared" ca="1" si="33"/>
        <v>✔</v>
      </c>
      <c r="AF30" s="103" t="str">
        <f t="shared" ca="1" si="33"/>
        <v>✔</v>
      </c>
      <c r="AG30" s="103" t="str">
        <f t="shared" ca="1" si="33"/>
        <v>✔</v>
      </c>
      <c r="AH30" s="103" t="str">
        <f t="shared" ca="1" si="33"/>
        <v>✔</v>
      </c>
      <c r="AI30" s="103" t="str">
        <f t="shared" ca="1" si="33"/>
        <v>✔</v>
      </c>
      <c r="AJ30" s="103" t="str">
        <f t="shared" ca="1" si="33"/>
        <v>✔</v>
      </c>
      <c r="AK30" s="103" t="str">
        <f t="shared" ca="1" si="33"/>
        <v>✔</v>
      </c>
      <c r="AL30" s="103" t="str">
        <f t="shared" ca="1" si="33"/>
        <v>✔</v>
      </c>
      <c r="AM30" s="103" t="str">
        <f t="shared" ca="1" si="33"/>
        <v>✔</v>
      </c>
      <c r="AN30" s="103" t="str">
        <f t="shared" ca="1" si="33"/>
        <v>✔</v>
      </c>
      <c r="AO30" s="103" t="str">
        <f t="shared" ca="1" si="33"/>
        <v>✔</v>
      </c>
      <c r="AP30" s="103" t="str">
        <f t="shared" ca="1" si="33"/>
        <v>✔</v>
      </c>
      <c r="AQ30" s="103" t="str">
        <f t="shared" ref="AQ30:BR30" ca="1" si="34">IF(ABS(AQ19-AQ25-AQ28)&lt;0.0001,"✔","✕")</f>
        <v>✔</v>
      </c>
      <c r="AR30" s="103" t="str">
        <f t="shared" ca="1" si="34"/>
        <v>✔</v>
      </c>
      <c r="AS30" s="103" t="str">
        <f t="shared" ca="1" si="34"/>
        <v>✔</v>
      </c>
      <c r="AT30" s="103" t="str">
        <f t="shared" ca="1" si="34"/>
        <v>✔</v>
      </c>
      <c r="AU30" s="103" t="str">
        <f t="shared" ca="1" si="34"/>
        <v>✔</v>
      </c>
      <c r="AV30" s="103" t="str">
        <f t="shared" ca="1" si="34"/>
        <v>✔</v>
      </c>
      <c r="AW30" s="103" t="str">
        <f t="shared" ca="1" si="34"/>
        <v>✔</v>
      </c>
      <c r="AX30" s="103" t="str">
        <f t="shared" ca="1" si="34"/>
        <v>✔</v>
      </c>
      <c r="AY30" s="103" t="str">
        <f t="shared" ca="1" si="34"/>
        <v>✔</v>
      </c>
      <c r="AZ30" s="103" t="str">
        <f t="shared" ca="1" si="34"/>
        <v>✔</v>
      </c>
      <c r="BA30" s="103" t="str">
        <f t="shared" ca="1" si="34"/>
        <v>✔</v>
      </c>
      <c r="BB30" s="103" t="str">
        <f t="shared" ca="1" si="34"/>
        <v>✔</v>
      </c>
      <c r="BC30" s="103" t="str">
        <f t="shared" ca="1" si="34"/>
        <v>✔</v>
      </c>
      <c r="BD30" s="103" t="str">
        <f t="shared" ca="1" si="34"/>
        <v>✔</v>
      </c>
      <c r="BE30" s="103" t="str">
        <f t="shared" ca="1" si="34"/>
        <v>✔</v>
      </c>
      <c r="BF30" s="103" t="str">
        <f t="shared" ca="1" si="34"/>
        <v>✔</v>
      </c>
      <c r="BG30" s="103" t="str">
        <f t="shared" ca="1" si="34"/>
        <v>✔</v>
      </c>
      <c r="BH30" s="103" t="str">
        <f t="shared" ca="1" si="34"/>
        <v>✔</v>
      </c>
      <c r="BI30" s="103" t="str">
        <f t="shared" ca="1" si="34"/>
        <v>✔</v>
      </c>
      <c r="BJ30" s="103" t="str">
        <f t="shared" ca="1" si="34"/>
        <v>✔</v>
      </c>
      <c r="BK30" s="103" t="str">
        <f t="shared" ca="1" si="34"/>
        <v>✔</v>
      </c>
      <c r="BL30" s="103" t="str">
        <f t="shared" ca="1" si="34"/>
        <v>✔</v>
      </c>
      <c r="BM30" s="103" t="str">
        <f t="shared" ca="1" si="34"/>
        <v>✔</v>
      </c>
      <c r="BN30" s="103" t="str">
        <f t="shared" ca="1" si="34"/>
        <v>✔</v>
      </c>
      <c r="BO30" s="103" t="str">
        <f t="shared" ca="1" si="34"/>
        <v>✔</v>
      </c>
      <c r="BP30" s="103" t="str">
        <f t="shared" ca="1" si="34"/>
        <v>✔</v>
      </c>
      <c r="BQ30" s="103" t="str">
        <f t="shared" ca="1" si="34"/>
        <v>✔</v>
      </c>
      <c r="BR30" s="103" t="str">
        <f t="shared" ca="1" si="34"/>
        <v>✔</v>
      </c>
    </row>
  </sheetData>
  <sheetProtection algorithmName="SHA-512" hashValue="FiF4PwUo9LSEff9CUqFrEimqZ5tuShxnHrdqzEG1TIat9AwwV8Zugkkr3H38UfO8ibTQvxr/P6RuXJtg3HcOxQ==" saltValue="8437EIxt1xiBG2SkRKX71g==" spinCount="100000" sheet="1" objects="1" scenarios="1" selectLockedCells="1" selectUnlockedCells="1"/>
  <conditionalFormatting sqref="E30:I30">
    <cfRule type="expression" dxfId="3" priority="1">
      <formula>IF(E30="✕",TRUE,FALSE)</formula>
    </cfRule>
  </conditionalFormatting>
  <conditionalFormatting sqref="K30:BR30">
    <cfRule type="expression" dxfId="2" priority="2">
      <formula>IF(K30="✕",TRUE,FALSE)</formula>
    </cfRule>
  </conditionalFormatting>
  <printOptions horizontalCentered="1"/>
  <pageMargins left="0.5" right="0.5" top="0.75" bottom="0.5" header="0.3" footer="0.3"/>
  <pageSetup fitToWidth="5" orientation="landscape" r:id="rId1"/>
  <headerFooter scaleWithDoc="0" alignWithMargins="0">
    <oddFooter>&amp;L&amp;10Balance Sheet, p.&amp;P of &amp;N&amp;R&amp;10Updated &amp;D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B66C7-C320-4BD1-B671-DE760FDC4028}">
  <sheetPr codeName="Sheet3">
    <tabColor theme="4" tint="0.79998168889431442"/>
    <outlinePr showOutlineSymbols="0"/>
    <pageSetUpPr fitToPage="1"/>
  </sheetPr>
  <dimension ref="A1:BR43"/>
  <sheetViews>
    <sheetView showGridLines="0" showRowColHeaders="0" showZeros="0" showOutlineSymbols="0" zoomScaleNormal="100" workbookViewId="0">
      <pane xSplit="3" ySplit="3" topLeftCell="D4" activePane="bottomRight" state="frozen"/>
      <selection activeCell="A2" sqref="A2:A3"/>
      <selection pane="topRight" activeCell="A2" sqref="A2:A3"/>
      <selection pane="bottomLeft" activeCell="A2" sqref="A2:A3"/>
      <selection pane="bottomRight"/>
    </sheetView>
  </sheetViews>
  <sheetFormatPr defaultColWidth="9.109375" defaultRowHeight="12.6" x14ac:dyDescent="0.25"/>
  <cols>
    <col min="1" max="1" width="3" style="134" customWidth="1"/>
    <col min="2" max="2" width="1.6640625" style="134" customWidth="1"/>
    <col min="3" max="3" width="21.88671875" style="14" customWidth="1"/>
    <col min="4" max="4" width="1.109375" style="16" customWidth="1"/>
    <col min="5" max="9" width="8.33203125" style="15" customWidth="1"/>
    <col min="10" max="10" width="2.21875" style="34" customWidth="1"/>
    <col min="11" max="21" width="8.33203125" style="16" customWidth="1"/>
    <col min="22" max="22" width="8.33203125" style="15" customWidth="1"/>
    <col min="23" max="33" width="8.33203125" style="16" customWidth="1"/>
    <col min="34" max="34" width="8.33203125" style="15" customWidth="1"/>
    <col min="35" max="45" width="8.33203125" style="16" customWidth="1"/>
    <col min="46" max="46" width="8.33203125" style="15" customWidth="1"/>
    <col min="47" max="57" width="8.33203125" style="16" customWidth="1"/>
    <col min="58" max="58" width="8.33203125" style="15" customWidth="1"/>
    <col min="59" max="69" width="8.33203125" style="16" customWidth="1"/>
    <col min="70" max="70" width="8.33203125" style="15" customWidth="1"/>
    <col min="71" max="16384" width="9.109375" style="14"/>
  </cols>
  <sheetData>
    <row r="1" spans="1:70" s="2" customFormat="1" ht="10.199999999999999" x14ac:dyDescent="0.2">
      <c r="A1" s="1" t="s">
        <v>0</v>
      </c>
      <c r="N1" s="3"/>
      <c r="R1" s="4"/>
      <c r="T1" s="4"/>
    </row>
    <row r="2" spans="1:70" s="5" customFormat="1" ht="21" customHeight="1" x14ac:dyDescent="0.2">
      <c r="B2" s="41"/>
      <c r="D2" s="36"/>
      <c r="E2" s="36"/>
      <c r="F2" s="36"/>
      <c r="G2" s="36"/>
      <c r="H2" s="36"/>
      <c r="I2" s="36"/>
      <c r="J2" s="36"/>
    </row>
    <row r="3" spans="1:70" s="13" customFormat="1" ht="19.8" x14ac:dyDescent="0.4">
      <c r="A3" s="92"/>
      <c r="C3" s="7" t="s">
        <v>195</v>
      </c>
      <c r="D3" s="37"/>
      <c r="E3" s="46">
        <v>1</v>
      </c>
      <c r="F3" s="46">
        <v>2</v>
      </c>
      <c r="G3" s="46">
        <v>3</v>
      </c>
      <c r="H3" s="46">
        <v>4</v>
      </c>
      <c r="I3" s="46">
        <v>5</v>
      </c>
      <c r="J3" s="105"/>
      <c r="K3" s="11">
        <v>1</v>
      </c>
      <c r="L3" s="11">
        <v>2</v>
      </c>
      <c r="M3" s="11">
        <v>3</v>
      </c>
      <c r="N3" s="11">
        <v>4</v>
      </c>
      <c r="O3" s="11">
        <v>5</v>
      </c>
      <c r="P3" s="11">
        <v>6</v>
      </c>
      <c r="Q3" s="11">
        <v>7</v>
      </c>
      <c r="R3" s="11">
        <v>8</v>
      </c>
      <c r="S3" s="11">
        <v>9</v>
      </c>
      <c r="T3" s="11">
        <v>10</v>
      </c>
      <c r="U3" s="11">
        <v>11</v>
      </c>
      <c r="V3" s="47">
        <v>12</v>
      </c>
      <c r="W3" s="11">
        <v>13</v>
      </c>
      <c r="X3" s="11">
        <v>14</v>
      </c>
      <c r="Y3" s="11">
        <v>15</v>
      </c>
      <c r="Z3" s="11">
        <v>16</v>
      </c>
      <c r="AA3" s="11">
        <v>17</v>
      </c>
      <c r="AB3" s="11">
        <v>18</v>
      </c>
      <c r="AC3" s="11">
        <v>19</v>
      </c>
      <c r="AD3" s="11">
        <v>20</v>
      </c>
      <c r="AE3" s="11">
        <v>21</v>
      </c>
      <c r="AF3" s="11">
        <v>22</v>
      </c>
      <c r="AG3" s="11">
        <v>23</v>
      </c>
      <c r="AH3" s="47">
        <v>24</v>
      </c>
      <c r="AI3" s="11">
        <v>25</v>
      </c>
      <c r="AJ3" s="11">
        <v>26</v>
      </c>
      <c r="AK3" s="11">
        <v>27</v>
      </c>
      <c r="AL3" s="11">
        <v>28</v>
      </c>
      <c r="AM3" s="11">
        <v>29</v>
      </c>
      <c r="AN3" s="11">
        <v>30</v>
      </c>
      <c r="AO3" s="11">
        <v>31</v>
      </c>
      <c r="AP3" s="11">
        <v>32</v>
      </c>
      <c r="AQ3" s="11">
        <v>33</v>
      </c>
      <c r="AR3" s="11">
        <v>34</v>
      </c>
      <c r="AS3" s="11">
        <v>35</v>
      </c>
      <c r="AT3" s="47">
        <v>36</v>
      </c>
      <c r="AU3" s="11">
        <v>37</v>
      </c>
      <c r="AV3" s="11">
        <v>38</v>
      </c>
      <c r="AW3" s="11">
        <v>39</v>
      </c>
      <c r="AX3" s="11">
        <v>40</v>
      </c>
      <c r="AY3" s="11">
        <v>41</v>
      </c>
      <c r="AZ3" s="11">
        <v>42</v>
      </c>
      <c r="BA3" s="11">
        <v>43</v>
      </c>
      <c r="BB3" s="11">
        <v>44</v>
      </c>
      <c r="BC3" s="11">
        <v>45</v>
      </c>
      <c r="BD3" s="11">
        <v>46</v>
      </c>
      <c r="BE3" s="11">
        <v>47</v>
      </c>
      <c r="BF3" s="47">
        <v>48</v>
      </c>
      <c r="BG3" s="11">
        <v>49</v>
      </c>
      <c r="BH3" s="11">
        <v>50</v>
      </c>
      <c r="BI3" s="11">
        <v>51</v>
      </c>
      <c r="BJ3" s="11">
        <v>52</v>
      </c>
      <c r="BK3" s="11">
        <v>53</v>
      </c>
      <c r="BL3" s="11">
        <v>54</v>
      </c>
      <c r="BM3" s="11">
        <v>55</v>
      </c>
      <c r="BN3" s="11">
        <v>56</v>
      </c>
      <c r="BO3" s="11">
        <v>57</v>
      </c>
      <c r="BP3" s="11">
        <v>58</v>
      </c>
      <c r="BQ3" s="11">
        <v>59</v>
      </c>
      <c r="BR3" s="47">
        <v>60</v>
      </c>
    </row>
    <row r="4" spans="1:70" ht="6" customHeight="1" x14ac:dyDescent="0.25">
      <c r="A4" s="13"/>
      <c r="B4" s="79"/>
      <c r="D4" s="14"/>
      <c r="E4" s="48"/>
      <c r="F4" s="48"/>
      <c r="G4" s="48"/>
      <c r="H4" s="48"/>
      <c r="I4" s="48"/>
      <c r="J4" s="88"/>
      <c r="V4" s="48"/>
      <c r="AH4" s="48"/>
      <c r="AT4" s="48"/>
      <c r="BF4" s="48"/>
      <c r="BR4" s="48"/>
    </row>
    <row r="5" spans="1:70" s="75" customFormat="1" ht="13.2" x14ac:dyDescent="0.3">
      <c r="A5" s="134"/>
      <c r="C5" s="49" t="s">
        <v>100</v>
      </c>
      <c r="D5" s="77"/>
      <c r="E5" s="96">
        <f>K5</f>
        <v>190</v>
      </c>
      <c r="F5" s="96">
        <f ca="1">W5</f>
        <v>267.26337791747028</v>
      </c>
      <c r="G5" s="96">
        <f ca="1">AI5</f>
        <v>757.42595516306733</v>
      </c>
      <c r="H5" s="96">
        <f ca="1">AU5</f>
        <v>1169.896290478571</v>
      </c>
      <c r="I5" s="96">
        <f ca="1">BG5</f>
        <v>1620.5242890834716</v>
      </c>
      <c r="J5" s="133"/>
      <c r="K5" s="97">
        <f>SUM(Drivers!$D$6:$F$6)</f>
        <v>190</v>
      </c>
      <c r="L5" s="97">
        <f ca="1">K34</f>
        <v>49.923333333333375</v>
      </c>
      <c r="M5" s="97">
        <f t="shared" ref="M5:BR5" ca="1" si="0">L34</f>
        <v>77.925661997057745</v>
      </c>
      <c r="N5" s="97">
        <f t="shared" ca="1" si="0"/>
        <v>56.152352423102712</v>
      </c>
      <c r="O5" s="97">
        <f t="shared" ca="1" si="0"/>
        <v>84.604515200196175</v>
      </c>
      <c r="P5" s="97">
        <f t="shared" ca="1" si="0"/>
        <v>113.28326570702197</v>
      </c>
      <c r="Q5" s="97">
        <f t="shared" ca="1" si="0"/>
        <v>72.891563146487186</v>
      </c>
      <c r="R5" s="97">
        <f t="shared" ca="1" si="0"/>
        <v>104.76149735619848</v>
      </c>
      <c r="S5" s="97">
        <f ca="1">R34</f>
        <v>136.86139435237803</v>
      </c>
      <c r="T5" s="97">
        <f t="shared" ca="1" si="0"/>
        <v>169.19238885472217</v>
      </c>
      <c r="U5" s="97">
        <f t="shared" ca="1" si="0"/>
        <v>201.75562046371741</v>
      </c>
      <c r="V5" s="96">
        <f t="shared" ca="1" si="0"/>
        <v>234.3922336789511</v>
      </c>
      <c r="W5" s="97">
        <f t="shared" ca="1" si="0"/>
        <v>267.26337791747028</v>
      </c>
      <c r="X5" s="97">
        <f t="shared" ca="1" si="0"/>
        <v>393.85991746981375</v>
      </c>
      <c r="Y5" s="97">
        <f t="shared" ca="1" si="0"/>
        <v>427.00234176796084</v>
      </c>
      <c r="Z5" s="97">
        <f t="shared" ca="1" si="0"/>
        <v>460.3827750295905</v>
      </c>
      <c r="AA5" s="97">
        <f t="shared" ca="1" si="0"/>
        <v>494.00238652612467</v>
      </c>
      <c r="AB5" s="97">
        <f t="shared" ca="1" si="0"/>
        <v>527.86235053895007</v>
      </c>
      <c r="AC5" s="97">
        <f t="shared" ca="1" si="0"/>
        <v>561.96384637806159</v>
      </c>
      <c r="AD5" s="97">
        <f t="shared" ca="1" si="0"/>
        <v>596.30805840075232</v>
      </c>
      <c r="AE5" s="97">
        <f t="shared" ca="1" si="0"/>
        <v>628.03903317320714</v>
      </c>
      <c r="AF5" s="97">
        <f t="shared" ca="1" si="0"/>
        <v>660.01510806071542</v>
      </c>
      <c r="AG5" s="97">
        <f t="shared" ca="1" si="0"/>
        <v>692.23748267507244</v>
      </c>
      <c r="AH5" s="96">
        <f t="shared" ca="1" si="0"/>
        <v>724.70736175059972</v>
      </c>
      <c r="AI5" s="97">
        <f t="shared" ca="1" si="0"/>
        <v>757.42595516306733</v>
      </c>
      <c r="AJ5" s="97">
        <f t="shared" ca="1" si="0"/>
        <v>790.39447794866419</v>
      </c>
      <c r="AK5" s="97">
        <f t="shared" ca="1" si="0"/>
        <v>823.61415032301306</v>
      </c>
      <c r="AL5" s="97">
        <f t="shared" ca="1" si="0"/>
        <v>857.0861977002329</v>
      </c>
      <c r="AM5" s="97">
        <f t="shared" ca="1" si="0"/>
        <v>890.81185071204493</v>
      </c>
      <c r="AN5" s="97">
        <f t="shared" ca="1" si="0"/>
        <v>924.7923452269273</v>
      </c>
      <c r="AO5" s="97">
        <f t="shared" ca="1" si="0"/>
        <v>959.02892236931223</v>
      </c>
      <c r="AP5" s="97">
        <f t="shared" ca="1" si="0"/>
        <v>993.52282853883014</v>
      </c>
      <c r="AQ5" s="97">
        <f t="shared" ca="1" si="0"/>
        <v>1028.2753154295992</v>
      </c>
      <c r="AR5" s="97">
        <f t="shared" ca="1" si="0"/>
        <v>1063.2876400495595</v>
      </c>
      <c r="AS5" s="97">
        <f t="shared" ca="1" si="0"/>
        <v>1098.5610647398505</v>
      </c>
      <c r="AT5" s="96">
        <f t="shared" ca="1" si="0"/>
        <v>1134.0968571942358</v>
      </c>
      <c r="AU5" s="97">
        <f t="shared" ca="1" si="0"/>
        <v>1169.896290478571</v>
      </c>
      <c r="AV5" s="97">
        <f t="shared" ca="1" si="0"/>
        <v>1205.9606430503154</v>
      </c>
      <c r="AW5" s="97">
        <f t="shared" ca="1" si="0"/>
        <v>1242.2911987780885</v>
      </c>
      <c r="AX5" s="97">
        <f t="shared" ca="1" si="0"/>
        <v>1278.8892469612708</v>
      </c>
      <c r="AY5" s="97">
        <f t="shared" ca="1" si="0"/>
        <v>1315.7560823496469</v>
      </c>
      <c r="AZ5" s="97">
        <f t="shared" ca="1" si="0"/>
        <v>1352.8930051630932</v>
      </c>
      <c r="BA5" s="97">
        <f t="shared" ca="1" si="0"/>
        <v>1390.3013211113087</v>
      </c>
      <c r="BB5" s="97">
        <f t="shared" ca="1" si="0"/>
        <v>1427.9823414135881</v>
      </c>
      <c r="BC5" s="97">
        <f t="shared" ca="1" si="0"/>
        <v>1465.9373828186394</v>
      </c>
      <c r="BD5" s="97">
        <f t="shared" ca="1" si="0"/>
        <v>1504.1677676244428</v>
      </c>
      <c r="BE5" s="97">
        <f t="shared" ca="1" si="0"/>
        <v>1542.6748236981516</v>
      </c>
      <c r="BF5" s="96">
        <f t="shared" ca="1" si="0"/>
        <v>1581.4598844960365</v>
      </c>
      <c r="BG5" s="97">
        <f t="shared" ca="1" si="0"/>
        <v>1620.5242890834716</v>
      </c>
      <c r="BH5" s="97">
        <f t="shared" ca="1" si="0"/>
        <v>1659.8693821549609</v>
      </c>
      <c r="BI5" s="97">
        <f t="shared" ca="1" si="0"/>
        <v>1699.4965140542085</v>
      </c>
      <c r="BJ5" s="97">
        <f t="shared" ca="1" si="0"/>
        <v>1739.4070407942268</v>
      </c>
      <c r="BK5" s="97">
        <f t="shared" ca="1" si="0"/>
        <v>1779.6023240774884</v>
      </c>
      <c r="BL5" s="97">
        <f t="shared" ca="1" si="0"/>
        <v>1820.0837313161187</v>
      </c>
      <c r="BM5" s="97">
        <f t="shared" ca="1" si="0"/>
        <v>1860.8526356521254</v>
      </c>
      <c r="BN5" s="97">
        <f t="shared" ca="1" si="0"/>
        <v>1901.9104159776725</v>
      </c>
      <c r="BO5" s="97">
        <f t="shared" ca="1" si="0"/>
        <v>1943.2584569553924</v>
      </c>
      <c r="BP5" s="97">
        <f t="shared" ca="1" si="0"/>
        <v>1984.8981490387359</v>
      </c>
      <c r="BQ5" s="97">
        <f t="shared" ca="1" si="0"/>
        <v>2026.830888492364</v>
      </c>
      <c r="BR5" s="96">
        <f t="shared" ca="1" si="0"/>
        <v>2069.0580774125774</v>
      </c>
    </row>
    <row r="6" spans="1:70" ht="13.2" x14ac:dyDescent="0.3">
      <c r="B6" s="34"/>
      <c r="C6" s="61" t="s">
        <v>32</v>
      </c>
      <c r="D6" s="14"/>
      <c r="E6" s="89">
        <f t="shared" ref="E6:E12" si="1">SUM(K6:V6)</f>
        <v>15</v>
      </c>
      <c r="F6" s="89">
        <f t="shared" ref="F6:F12" si="2">SUM(W6:AH6)</f>
        <v>60</v>
      </c>
      <c r="G6" s="89">
        <f t="shared" ref="G6:G12" si="3">SUM(AI6:AT6)</f>
        <v>0</v>
      </c>
      <c r="H6" s="89">
        <f t="shared" ref="H6:H12" si="4">SUM(AU6:BF6)</f>
        <v>0</v>
      </c>
      <c r="I6" s="89">
        <f t="shared" ref="I6:I12" si="5">SUM(BG6:BR6)</f>
        <v>0</v>
      </c>
      <c r="J6" s="113"/>
      <c r="K6" s="90">
        <f>IFERROR(VLOOKUP(K$3,Drivers!$C$7:$F$35,2,FALSE),0)</f>
        <v>0</v>
      </c>
      <c r="L6" s="91">
        <f>IFERROR(VLOOKUP(L$3,Drivers!$C$7:$F$35,2,FALSE),0)</f>
        <v>0</v>
      </c>
      <c r="M6" s="91">
        <f>IFERROR(VLOOKUP(M$3,Drivers!$C$7:$F$35,2,FALSE),0)</f>
        <v>0</v>
      </c>
      <c r="N6" s="91">
        <f>IFERROR(VLOOKUP(N$3,Drivers!$C$7:$F$35,2,FALSE),0)</f>
        <v>0</v>
      </c>
      <c r="O6" s="91">
        <f>IFERROR(VLOOKUP(O$3,Drivers!$C$7:$F$35,2,FALSE),0)</f>
        <v>0</v>
      </c>
      <c r="P6" s="91">
        <f>IFERROR(VLOOKUP(P$3,Drivers!$C$7:$F$35,2,FALSE),0)</f>
        <v>15</v>
      </c>
      <c r="Q6" s="90">
        <f>IFERROR(VLOOKUP(Q$3,Drivers!$C$7:$F$35,2,FALSE),0)</f>
        <v>0</v>
      </c>
      <c r="R6" s="90">
        <f>IFERROR(VLOOKUP(R$3,Drivers!$C$7:$F$35,2,FALSE),0)</f>
        <v>0</v>
      </c>
      <c r="S6" s="90">
        <f>IFERROR(VLOOKUP(S$3,Drivers!$C$7:$F$35,2,FALSE),0)</f>
        <v>0</v>
      </c>
      <c r="T6" s="90">
        <f>IFERROR(VLOOKUP(T$3,Drivers!$C$7:$F$35,2,FALSE),0)</f>
        <v>0</v>
      </c>
      <c r="U6" s="90">
        <f>IFERROR(VLOOKUP(U$3,Drivers!$C$7:$F$35,2,FALSE),0)</f>
        <v>0</v>
      </c>
      <c r="V6" s="89">
        <f>IFERROR(VLOOKUP(V$3,Drivers!$C$7:$F$35,2,FALSE),0)</f>
        <v>0</v>
      </c>
      <c r="W6" s="90">
        <f>IFERROR(VLOOKUP(W$3,Drivers!$C$7:$F$35,2,FALSE),0)</f>
        <v>60</v>
      </c>
      <c r="X6" s="91">
        <f>IFERROR(VLOOKUP(X$3,Drivers!$C$7:$F$35,2,FALSE),0)</f>
        <v>0</v>
      </c>
      <c r="Y6" s="91">
        <f>IFERROR(VLOOKUP(Y$3,Drivers!$C$7:$F$35,2,FALSE),0)</f>
        <v>0</v>
      </c>
      <c r="Z6" s="91">
        <f>IFERROR(VLOOKUP(Z$3,Drivers!$C$7:$F$35,2,FALSE),0)</f>
        <v>0</v>
      </c>
      <c r="AA6" s="91">
        <f>IFERROR(VLOOKUP(AA$3,Drivers!$C$7:$F$35,2,FALSE),0)</f>
        <v>0</v>
      </c>
      <c r="AB6" s="91">
        <f>IFERROR(VLOOKUP(AB$3,Drivers!$C$7:$F$35,2,FALSE),0)</f>
        <v>0</v>
      </c>
      <c r="AC6" s="90">
        <f>IFERROR(VLOOKUP(AC$3,Drivers!$C$7:$F$35,2,FALSE),0)</f>
        <v>0</v>
      </c>
      <c r="AD6" s="90">
        <f>IFERROR(VLOOKUP(AD$3,Drivers!$C$7:$F$35,2,FALSE),0)</f>
        <v>0</v>
      </c>
      <c r="AE6" s="90">
        <f>IFERROR(VLOOKUP(AE$3,Drivers!$C$7:$F$35,2,FALSE),0)</f>
        <v>0</v>
      </c>
      <c r="AF6" s="90">
        <f>IFERROR(VLOOKUP(AF$3,Drivers!$C$7:$F$35,2,FALSE),0)</f>
        <v>0</v>
      </c>
      <c r="AG6" s="90">
        <f>IFERROR(VLOOKUP(AG$3,Drivers!$C$7:$F$35,2,FALSE),0)</f>
        <v>0</v>
      </c>
      <c r="AH6" s="89">
        <f>IFERROR(VLOOKUP(AH$3,Drivers!$C$7:$F$35,2,FALSE),0)</f>
        <v>0</v>
      </c>
      <c r="AI6" s="90">
        <f>IFERROR(VLOOKUP(AI$3,Drivers!$C$7:$F$35,2,FALSE),0)</f>
        <v>0</v>
      </c>
      <c r="AJ6" s="91">
        <f>IFERROR(VLOOKUP(AJ$3,Drivers!$C$7:$F$35,2,FALSE),0)</f>
        <v>0</v>
      </c>
      <c r="AK6" s="91">
        <f>IFERROR(VLOOKUP(AK$3,Drivers!$C$7:$F$35,2,FALSE),0)</f>
        <v>0</v>
      </c>
      <c r="AL6" s="91">
        <f>IFERROR(VLOOKUP(AL$3,Drivers!$C$7:$F$35,2,FALSE),0)</f>
        <v>0</v>
      </c>
      <c r="AM6" s="91">
        <f>IFERROR(VLOOKUP(AM$3,Drivers!$C$7:$F$35,2,FALSE),0)</f>
        <v>0</v>
      </c>
      <c r="AN6" s="91">
        <f>IFERROR(VLOOKUP(AN$3,Drivers!$C$7:$F$35,2,FALSE),0)</f>
        <v>0</v>
      </c>
      <c r="AO6" s="90">
        <f>IFERROR(VLOOKUP(AO$3,Drivers!$C$7:$F$35,2,FALSE),0)</f>
        <v>0</v>
      </c>
      <c r="AP6" s="90">
        <f>IFERROR(VLOOKUP(AP$3,Drivers!$C$7:$F$35,2,FALSE),0)</f>
        <v>0</v>
      </c>
      <c r="AQ6" s="90">
        <f>IFERROR(VLOOKUP(AQ$3,Drivers!$C$7:$F$35,2,FALSE),0)</f>
        <v>0</v>
      </c>
      <c r="AR6" s="90">
        <f>IFERROR(VLOOKUP(AR$3,Drivers!$C$7:$F$35,2,FALSE),0)</f>
        <v>0</v>
      </c>
      <c r="AS6" s="90">
        <f>IFERROR(VLOOKUP(AS$3,Drivers!$C$7:$F$35,2,FALSE),0)</f>
        <v>0</v>
      </c>
      <c r="AT6" s="89">
        <f>IFERROR(VLOOKUP(AT$3,Drivers!$C$7:$F$35,2,FALSE),0)</f>
        <v>0</v>
      </c>
      <c r="AU6" s="90">
        <f>IFERROR(VLOOKUP(AU$3,Drivers!$C$7:$F$35,2,FALSE),0)</f>
        <v>0</v>
      </c>
      <c r="AV6" s="91">
        <f>IFERROR(VLOOKUP(AV$3,Drivers!$C$7:$F$35,2,FALSE),0)</f>
        <v>0</v>
      </c>
      <c r="AW6" s="91">
        <f>IFERROR(VLOOKUP(AW$3,Drivers!$C$7:$F$35,2,FALSE),0)</f>
        <v>0</v>
      </c>
      <c r="AX6" s="91">
        <f>IFERROR(VLOOKUP(AX$3,Drivers!$C$7:$F$35,2,FALSE),0)</f>
        <v>0</v>
      </c>
      <c r="AY6" s="91">
        <f>IFERROR(VLOOKUP(AY$3,Drivers!$C$7:$F$35,2,FALSE),0)</f>
        <v>0</v>
      </c>
      <c r="AZ6" s="91">
        <f>IFERROR(VLOOKUP(AZ$3,Drivers!$C$7:$F$35,2,FALSE),0)</f>
        <v>0</v>
      </c>
      <c r="BA6" s="90">
        <f>IFERROR(VLOOKUP(BA$3,Drivers!$C$7:$F$35,2,FALSE),0)</f>
        <v>0</v>
      </c>
      <c r="BB6" s="90">
        <f>IFERROR(VLOOKUP(BB$3,Drivers!$C$7:$F$35,2,FALSE),0)</f>
        <v>0</v>
      </c>
      <c r="BC6" s="90">
        <f>IFERROR(VLOOKUP(BC$3,Drivers!$C$7:$F$35,2,FALSE),0)</f>
        <v>0</v>
      </c>
      <c r="BD6" s="90">
        <f>IFERROR(VLOOKUP(BD$3,Drivers!$C$7:$F$35,2,FALSE),0)</f>
        <v>0</v>
      </c>
      <c r="BE6" s="90">
        <f>IFERROR(VLOOKUP(BE$3,Drivers!$C$7:$F$35,2,FALSE),0)</f>
        <v>0</v>
      </c>
      <c r="BF6" s="89">
        <f>IFERROR(VLOOKUP(BF$3,Drivers!$C$7:$F$35,2,FALSE),0)</f>
        <v>0</v>
      </c>
      <c r="BG6" s="90">
        <f>IFERROR(VLOOKUP(BG$3,Drivers!$C$7:$F$35,2,FALSE),0)</f>
        <v>0</v>
      </c>
      <c r="BH6" s="91">
        <f>IFERROR(VLOOKUP(BH$3,Drivers!$C$7:$F$35,2,FALSE),0)</f>
        <v>0</v>
      </c>
      <c r="BI6" s="91">
        <f>IFERROR(VLOOKUP(BI$3,Drivers!$C$7:$F$35,2,FALSE),0)</f>
        <v>0</v>
      </c>
      <c r="BJ6" s="91">
        <f>IFERROR(VLOOKUP(BJ$3,Drivers!$C$7:$F$35,2,FALSE),0)</f>
        <v>0</v>
      </c>
      <c r="BK6" s="91">
        <f>IFERROR(VLOOKUP(BK$3,Drivers!$C$7:$F$35,2,FALSE),0)</f>
        <v>0</v>
      </c>
      <c r="BL6" s="91">
        <f>IFERROR(VLOOKUP(BL$3,Drivers!$C$7:$F$35,2,FALSE),0)</f>
        <v>0</v>
      </c>
      <c r="BM6" s="90">
        <f>IFERROR(VLOOKUP(BM$3,Drivers!$C$7:$F$35,2,FALSE),0)</f>
        <v>0</v>
      </c>
      <c r="BN6" s="90">
        <f>IFERROR(VLOOKUP(BN$3,Drivers!$C$7:$F$35,2,FALSE),0)</f>
        <v>0</v>
      </c>
      <c r="BO6" s="90">
        <f>IFERROR(VLOOKUP(BO$3,Drivers!$C$7:$F$35,2,FALSE),0)</f>
        <v>0</v>
      </c>
      <c r="BP6" s="90">
        <f>IFERROR(VLOOKUP(BP$3,Drivers!$C$7:$F$35,2,FALSE),0)</f>
        <v>0</v>
      </c>
      <c r="BQ6" s="90">
        <f>IFERROR(VLOOKUP(BQ$3,Drivers!$C$7:$F$35,2,FALSE),0)</f>
        <v>0</v>
      </c>
      <c r="BR6" s="89">
        <f>IFERROR(VLOOKUP(BR$3,Drivers!$C$7:$F$35,2,FALSE),0)</f>
        <v>0</v>
      </c>
    </row>
    <row r="7" spans="1:70" ht="13.2" x14ac:dyDescent="0.3">
      <c r="B7" s="34"/>
      <c r="C7" s="61" t="s">
        <v>184</v>
      </c>
      <c r="D7" s="14"/>
      <c r="E7" s="89"/>
      <c r="F7" s="89"/>
      <c r="G7" s="89"/>
      <c r="H7" s="89"/>
      <c r="I7" s="89"/>
      <c r="J7" s="113"/>
      <c r="K7" s="90">
        <f>IFERROR(VLOOKUP(K$3,Drivers!$C$6:$F$35,3,FALSE),0)</f>
        <v>0</v>
      </c>
      <c r="L7" s="91">
        <f>IFERROR(VLOOKUP(L$3,Drivers!$C$6:$F$35,3,FALSE),0)</f>
        <v>0</v>
      </c>
      <c r="M7" s="91">
        <f>IFERROR(VLOOKUP(M$3,Drivers!$C$6:$F$35,3,FALSE),0)</f>
        <v>0</v>
      </c>
      <c r="N7" s="91">
        <f>IFERROR(VLOOKUP(N$3,Drivers!$C$6:$F$35,3,FALSE),0)</f>
        <v>0</v>
      </c>
      <c r="O7" s="91">
        <f>IFERROR(VLOOKUP(O$3,Drivers!$C$6:$F$35,3,FALSE),0)</f>
        <v>0</v>
      </c>
      <c r="P7" s="91">
        <f>IFERROR(VLOOKUP(P$3,Drivers!$C$6:$F$35,3,FALSE),0)</f>
        <v>10</v>
      </c>
      <c r="Q7" s="90">
        <f>IFERROR(VLOOKUP(Q$3,Drivers!$C$6:$F$35,3,FALSE),0)</f>
        <v>0</v>
      </c>
      <c r="R7" s="90">
        <f>IFERROR(VLOOKUP(R$3,Drivers!$C$6:$F$35,3,FALSE),0)</f>
        <v>0</v>
      </c>
      <c r="S7" s="90">
        <f>IFERROR(VLOOKUP(S$3,Drivers!$C$6:$F$35,3,FALSE),0)</f>
        <v>0</v>
      </c>
      <c r="T7" s="90">
        <f>IFERROR(VLOOKUP(T$3,Drivers!$C$6:$F$35,3,FALSE),0)</f>
        <v>0</v>
      </c>
      <c r="U7" s="90">
        <f>IFERROR(VLOOKUP(U$3,Drivers!$C$6:$F$35,3,FALSE),0)</f>
        <v>0</v>
      </c>
      <c r="V7" s="89">
        <f>IFERROR(VLOOKUP(V$3,Drivers!$C$6:$F$35,3,FALSE),0)</f>
        <v>0</v>
      </c>
      <c r="W7" s="90">
        <f>IFERROR(VLOOKUP(W$3,Drivers!$C$6:$F$35,3,FALSE),0)</f>
        <v>20</v>
      </c>
      <c r="X7" s="91">
        <f>IFERROR(VLOOKUP(X$3,Drivers!$C$6:$F$35,3,FALSE),0)</f>
        <v>0</v>
      </c>
      <c r="Y7" s="91">
        <f>IFERROR(VLOOKUP(Y$3,Drivers!$C$6:$F$35,3,FALSE),0)</f>
        <v>0</v>
      </c>
      <c r="Z7" s="91">
        <f>IFERROR(VLOOKUP(Z$3,Drivers!$C$6:$F$35,3,FALSE),0)</f>
        <v>0</v>
      </c>
      <c r="AA7" s="91">
        <f>IFERROR(VLOOKUP(AA$3,Drivers!$C$6:$F$35,3,FALSE),0)</f>
        <v>0</v>
      </c>
      <c r="AB7" s="91">
        <f>IFERROR(VLOOKUP(AB$3,Drivers!$C$6:$F$35,3,FALSE),0)</f>
        <v>0</v>
      </c>
      <c r="AC7" s="90">
        <f>IFERROR(VLOOKUP(AC$3,Drivers!$C$6:$F$35,3,FALSE),0)</f>
        <v>0</v>
      </c>
      <c r="AD7" s="90">
        <f>IFERROR(VLOOKUP(AD$3,Drivers!$C$6:$F$35,3,FALSE),0)</f>
        <v>0</v>
      </c>
      <c r="AE7" s="90">
        <f>IFERROR(VLOOKUP(AE$3,Drivers!$C$6:$F$35,3,FALSE),0)</f>
        <v>0</v>
      </c>
      <c r="AF7" s="90">
        <f>IFERROR(VLOOKUP(AF$3,Drivers!$C$6:$F$35,3,FALSE),0)</f>
        <v>0</v>
      </c>
      <c r="AG7" s="90">
        <f>IFERROR(VLOOKUP(AG$3,Drivers!$C$6:$F$35,3,FALSE),0)</f>
        <v>0</v>
      </c>
      <c r="AH7" s="89">
        <f>IFERROR(VLOOKUP(AH$3,Drivers!$C$6:$F$35,3,FALSE),0)</f>
        <v>0</v>
      </c>
      <c r="AI7" s="90">
        <f>IFERROR(VLOOKUP(AI$3,Drivers!$C$6:$F$35,3,FALSE),0)</f>
        <v>0</v>
      </c>
      <c r="AJ7" s="91">
        <f>IFERROR(VLOOKUP(AJ$3,Drivers!$C$6:$F$35,3,FALSE),0)</f>
        <v>0</v>
      </c>
      <c r="AK7" s="91">
        <f>IFERROR(VLOOKUP(AK$3,Drivers!$C$6:$F$35,3,FALSE),0)</f>
        <v>0</v>
      </c>
      <c r="AL7" s="91">
        <f>IFERROR(VLOOKUP(AL$3,Drivers!$C$6:$F$35,3,FALSE),0)</f>
        <v>0</v>
      </c>
      <c r="AM7" s="91">
        <f>IFERROR(VLOOKUP(AM$3,Drivers!$C$6:$F$35,3,FALSE),0)</f>
        <v>0</v>
      </c>
      <c r="AN7" s="91">
        <f>IFERROR(VLOOKUP(AN$3,Drivers!$C$6:$F$35,3,FALSE),0)</f>
        <v>0</v>
      </c>
      <c r="AO7" s="90">
        <f>IFERROR(VLOOKUP(AO$3,Drivers!$C$6:$F$35,3,FALSE),0)</f>
        <v>0</v>
      </c>
      <c r="AP7" s="90">
        <f>IFERROR(VLOOKUP(AP$3,Drivers!$C$6:$F$35,3,FALSE),0)</f>
        <v>0</v>
      </c>
      <c r="AQ7" s="90">
        <f>IFERROR(VLOOKUP(AQ$3,Drivers!$C$6:$F$35,3,FALSE),0)</f>
        <v>0</v>
      </c>
      <c r="AR7" s="90">
        <f>IFERROR(VLOOKUP(AR$3,Drivers!$C$6:$F$35,3,FALSE),0)</f>
        <v>0</v>
      </c>
      <c r="AS7" s="90">
        <f>IFERROR(VLOOKUP(AS$3,Drivers!$C$6:$F$35,3,FALSE),0)</f>
        <v>0</v>
      </c>
      <c r="AT7" s="89">
        <f>IFERROR(VLOOKUP(AT$3,Drivers!$C$6:$F$35,3,FALSE),0)</f>
        <v>0</v>
      </c>
      <c r="AU7" s="90">
        <f>IFERROR(VLOOKUP(AU$3,Drivers!$C$6:$F$35,3,FALSE),0)</f>
        <v>0</v>
      </c>
      <c r="AV7" s="91">
        <f>IFERROR(VLOOKUP(AV$3,Drivers!$C$6:$F$35,3,FALSE),0)</f>
        <v>0</v>
      </c>
      <c r="AW7" s="91">
        <f>IFERROR(VLOOKUP(AW$3,Drivers!$C$6:$F$35,3,FALSE),0)</f>
        <v>0</v>
      </c>
      <c r="AX7" s="91">
        <f>IFERROR(VLOOKUP(AX$3,Drivers!$C$6:$F$35,3,FALSE),0)</f>
        <v>0</v>
      </c>
      <c r="AY7" s="91">
        <f>IFERROR(VLOOKUP(AY$3,Drivers!$C$6:$F$35,3,FALSE),0)</f>
        <v>0</v>
      </c>
      <c r="AZ7" s="91">
        <f>IFERROR(VLOOKUP(AZ$3,Drivers!$C$6:$F$35,3,FALSE),0)</f>
        <v>0</v>
      </c>
      <c r="BA7" s="90">
        <f>IFERROR(VLOOKUP(BA$3,Drivers!$C$6:$F$35,3,FALSE),0)</f>
        <v>0</v>
      </c>
      <c r="BB7" s="90">
        <f>IFERROR(VLOOKUP(BB$3,Drivers!$C$6:$F$35,3,FALSE),0)</f>
        <v>0</v>
      </c>
      <c r="BC7" s="90">
        <f>IFERROR(VLOOKUP(BC$3,Drivers!$C$6:$F$35,3,FALSE),0)</f>
        <v>0</v>
      </c>
      <c r="BD7" s="90">
        <f>IFERROR(VLOOKUP(BD$3,Drivers!$C$6:$F$35,3,FALSE),0)</f>
        <v>0</v>
      </c>
      <c r="BE7" s="90">
        <f>IFERROR(VLOOKUP(BE$3,Drivers!$C$6:$F$35,3,FALSE),0)</f>
        <v>0</v>
      </c>
      <c r="BF7" s="89">
        <f>IFERROR(VLOOKUP(BF$3,Drivers!$C$6:$F$35,3,FALSE),0)</f>
        <v>0</v>
      </c>
      <c r="BG7" s="90">
        <f>IFERROR(VLOOKUP(BG$3,Drivers!$C$6:$F$35,3,FALSE),0)</f>
        <v>0</v>
      </c>
      <c r="BH7" s="91">
        <f>IFERROR(VLOOKUP(BH$3,Drivers!$C$6:$F$35,3,FALSE),0)</f>
        <v>0</v>
      </c>
      <c r="BI7" s="91">
        <f>IFERROR(VLOOKUP(BI$3,Drivers!$C$6:$F$35,3,FALSE),0)</f>
        <v>0</v>
      </c>
      <c r="BJ7" s="91">
        <f>IFERROR(VLOOKUP(BJ$3,Drivers!$C$6:$F$35,3,FALSE),0)</f>
        <v>0</v>
      </c>
      <c r="BK7" s="91">
        <f>IFERROR(VLOOKUP(BK$3,Drivers!$C$6:$F$35,3,FALSE),0)</f>
        <v>0</v>
      </c>
      <c r="BL7" s="91">
        <f>IFERROR(VLOOKUP(BL$3,Drivers!$C$6:$F$35,3,FALSE),0)</f>
        <v>0</v>
      </c>
      <c r="BM7" s="90">
        <f>IFERROR(VLOOKUP(BM$3,Drivers!$C$6:$F$35,3,FALSE),0)</f>
        <v>0</v>
      </c>
      <c r="BN7" s="90">
        <f>IFERROR(VLOOKUP(BN$3,Drivers!$C$6:$F$35,3,FALSE),0)</f>
        <v>0</v>
      </c>
      <c r="BO7" s="90">
        <f>IFERROR(VLOOKUP(BO$3,Drivers!$C$6:$F$35,3,FALSE),0)</f>
        <v>0</v>
      </c>
      <c r="BP7" s="90">
        <f>IFERROR(VLOOKUP(BP$3,Drivers!$C$6:$F$35,3,FALSE),0)</f>
        <v>0</v>
      </c>
      <c r="BQ7" s="90">
        <f>IFERROR(VLOOKUP(BQ$3,Drivers!$C$6:$F$35,3,FALSE),0)</f>
        <v>0</v>
      </c>
      <c r="BR7" s="89">
        <f>IFERROR(VLOOKUP(BR$3,Drivers!$C$6:$F$35,3,FALSE),0)</f>
        <v>0</v>
      </c>
    </row>
    <row r="8" spans="1:70" ht="13.2" x14ac:dyDescent="0.3">
      <c r="C8" s="52" t="s">
        <v>183</v>
      </c>
      <c r="D8" s="14"/>
      <c r="E8" s="93">
        <f t="shared" si="1"/>
        <v>20</v>
      </c>
      <c r="F8" s="93">
        <f t="shared" si="2"/>
        <v>30</v>
      </c>
      <c r="G8" s="93">
        <f t="shared" si="3"/>
        <v>0</v>
      </c>
      <c r="H8" s="93">
        <f t="shared" si="4"/>
        <v>0</v>
      </c>
      <c r="I8" s="93">
        <f t="shared" si="5"/>
        <v>0</v>
      </c>
      <c r="J8" s="113"/>
      <c r="K8" s="94">
        <f>IFERROR(VLOOKUP(K$3,Drivers!$C$7:$F$35,4,FALSE),0)</f>
        <v>0</v>
      </c>
      <c r="L8" s="94">
        <f>IFERROR(VLOOKUP(L$3,Drivers!$C$7:$F$35,4,FALSE),0)</f>
        <v>0</v>
      </c>
      <c r="M8" s="94">
        <f>IFERROR(VLOOKUP(M$3,Drivers!$C$7:$F$35,4,FALSE),0)</f>
        <v>0</v>
      </c>
      <c r="N8" s="94">
        <f>IFERROR(VLOOKUP(N$3,Drivers!$C$7:$F$35,4,FALSE),0)</f>
        <v>0</v>
      </c>
      <c r="O8" s="94">
        <f>IFERROR(VLOOKUP(O$3,Drivers!$C$7:$F$35,4,FALSE),0)</f>
        <v>0</v>
      </c>
      <c r="P8" s="94">
        <f>IFERROR(VLOOKUP(P$3,Drivers!$C$7:$F$35,4,FALSE),0)</f>
        <v>20</v>
      </c>
      <c r="Q8" s="94">
        <f>IFERROR(VLOOKUP(Q$3,Drivers!$C$7:$F$35,4,FALSE),0)</f>
        <v>0</v>
      </c>
      <c r="R8" s="94">
        <f>IFERROR(VLOOKUP(R$3,Drivers!$C$7:$F$35,4,FALSE),0)</f>
        <v>0</v>
      </c>
      <c r="S8" s="94">
        <f>IFERROR(VLOOKUP(S$3,Drivers!$C$7:$F$35,4,FALSE),0)</f>
        <v>0</v>
      </c>
      <c r="T8" s="94">
        <f>IFERROR(VLOOKUP(T$3,Drivers!$C$7:$F$35,4,FALSE),0)</f>
        <v>0</v>
      </c>
      <c r="U8" s="94">
        <f>IFERROR(VLOOKUP(U$3,Drivers!$C$7:$F$35,4,FALSE),0)</f>
        <v>0</v>
      </c>
      <c r="V8" s="93">
        <f>IFERROR(VLOOKUP(V$3,Drivers!$C$7:$F$35,4,FALSE),0)</f>
        <v>0</v>
      </c>
      <c r="W8" s="94">
        <f>IFERROR(VLOOKUP(W$3,Drivers!$C$7:$F$35,4,FALSE),0)</f>
        <v>30</v>
      </c>
      <c r="X8" s="94">
        <f>IFERROR(VLOOKUP(X$3,Drivers!$C$7:$F$35,4,FALSE),0)</f>
        <v>0</v>
      </c>
      <c r="Y8" s="94">
        <f>IFERROR(VLOOKUP(Y$3,Drivers!$C$7:$F$35,4,FALSE),0)</f>
        <v>0</v>
      </c>
      <c r="Z8" s="94">
        <f>IFERROR(VLOOKUP(Z$3,Drivers!$C$7:$F$35,4,FALSE),0)</f>
        <v>0</v>
      </c>
      <c r="AA8" s="94">
        <f>IFERROR(VLOOKUP(AA$3,Drivers!$C$7:$F$35,4,FALSE),0)</f>
        <v>0</v>
      </c>
      <c r="AB8" s="94">
        <f>IFERROR(VLOOKUP(AB$3,Drivers!$C$7:$F$35,4,FALSE),0)</f>
        <v>0</v>
      </c>
      <c r="AC8" s="94">
        <f>IFERROR(VLOOKUP(AC$3,Drivers!$C$7:$F$35,4,FALSE),0)</f>
        <v>0</v>
      </c>
      <c r="AD8" s="94">
        <f>IFERROR(VLOOKUP(AD$3,Drivers!$C$7:$F$35,4,FALSE),0)</f>
        <v>0</v>
      </c>
      <c r="AE8" s="94">
        <f>IFERROR(VLOOKUP(AE$3,Drivers!$C$7:$F$35,4,FALSE),0)</f>
        <v>0</v>
      </c>
      <c r="AF8" s="94">
        <f>IFERROR(VLOOKUP(AF$3,Drivers!$C$7:$F$35,4,FALSE),0)</f>
        <v>0</v>
      </c>
      <c r="AG8" s="94">
        <f>IFERROR(VLOOKUP(AG$3,Drivers!$C$7:$F$35,4,FALSE),0)</f>
        <v>0</v>
      </c>
      <c r="AH8" s="93">
        <f>IFERROR(VLOOKUP(AH$3,Drivers!$C$7:$F$35,4,FALSE),0)</f>
        <v>0</v>
      </c>
      <c r="AI8" s="94">
        <f>IFERROR(VLOOKUP(AI$3,Drivers!$C$7:$F$35,4,FALSE),0)</f>
        <v>0</v>
      </c>
      <c r="AJ8" s="94">
        <f>IFERROR(VLOOKUP(AJ$3,Drivers!$C$7:$F$35,4,FALSE),0)</f>
        <v>0</v>
      </c>
      <c r="AK8" s="94">
        <f>IFERROR(VLOOKUP(AK$3,Drivers!$C$7:$F$35,4,FALSE),0)</f>
        <v>0</v>
      </c>
      <c r="AL8" s="94">
        <f>IFERROR(VLOOKUP(AL$3,Drivers!$C$7:$F$35,4,FALSE),0)</f>
        <v>0</v>
      </c>
      <c r="AM8" s="94">
        <f>IFERROR(VLOOKUP(AM$3,Drivers!$C$7:$F$35,4,FALSE),0)</f>
        <v>0</v>
      </c>
      <c r="AN8" s="94">
        <f>IFERROR(VLOOKUP(AN$3,Drivers!$C$7:$F$35,4,FALSE),0)</f>
        <v>0</v>
      </c>
      <c r="AO8" s="94">
        <f>IFERROR(VLOOKUP(AO$3,Drivers!$C$7:$F$35,4,FALSE),0)</f>
        <v>0</v>
      </c>
      <c r="AP8" s="94">
        <f>IFERROR(VLOOKUP(AP$3,Drivers!$C$7:$F$35,4,FALSE),0)</f>
        <v>0</v>
      </c>
      <c r="AQ8" s="94">
        <f>IFERROR(VLOOKUP(AQ$3,Drivers!$C$7:$F$35,4,FALSE),0)</f>
        <v>0</v>
      </c>
      <c r="AR8" s="94">
        <f>IFERROR(VLOOKUP(AR$3,Drivers!$C$7:$F$35,4,FALSE),0)</f>
        <v>0</v>
      </c>
      <c r="AS8" s="94">
        <f>IFERROR(VLOOKUP(AS$3,Drivers!$C$7:$F$35,4,FALSE),0)</f>
        <v>0</v>
      </c>
      <c r="AT8" s="93">
        <f>IFERROR(VLOOKUP(AT$3,Drivers!$C$7:$F$35,4,FALSE),0)</f>
        <v>0</v>
      </c>
      <c r="AU8" s="94">
        <f>IFERROR(VLOOKUP(AU$3,Drivers!$C$7:$F$35,4,FALSE),0)</f>
        <v>0</v>
      </c>
      <c r="AV8" s="94">
        <f>IFERROR(VLOOKUP(AV$3,Drivers!$C$7:$F$35,4,FALSE),0)</f>
        <v>0</v>
      </c>
      <c r="AW8" s="94">
        <f>IFERROR(VLOOKUP(AW$3,Drivers!$C$7:$F$35,4,FALSE),0)</f>
        <v>0</v>
      </c>
      <c r="AX8" s="94">
        <f>IFERROR(VLOOKUP(AX$3,Drivers!$C$7:$F$35,4,FALSE),0)</f>
        <v>0</v>
      </c>
      <c r="AY8" s="94">
        <f>IFERROR(VLOOKUP(AY$3,Drivers!$C$7:$F$35,4,FALSE),0)</f>
        <v>0</v>
      </c>
      <c r="AZ8" s="94">
        <f>IFERROR(VLOOKUP(AZ$3,Drivers!$C$7:$F$35,4,FALSE),0)</f>
        <v>0</v>
      </c>
      <c r="BA8" s="94">
        <f>IFERROR(VLOOKUP(BA$3,Drivers!$C$7:$F$35,4,FALSE),0)</f>
        <v>0</v>
      </c>
      <c r="BB8" s="94">
        <f>IFERROR(VLOOKUP(BB$3,Drivers!$C$7:$F$35,4,FALSE),0)</f>
        <v>0</v>
      </c>
      <c r="BC8" s="94">
        <f>IFERROR(VLOOKUP(BC$3,Drivers!$C$7:$F$35,4,FALSE),0)</f>
        <v>0</v>
      </c>
      <c r="BD8" s="94">
        <f>IFERROR(VLOOKUP(BD$3,Drivers!$C$7:$F$35,4,FALSE),0)</f>
        <v>0</v>
      </c>
      <c r="BE8" s="94">
        <f>IFERROR(VLOOKUP(BE$3,Drivers!$C$7:$F$35,4,FALSE),0)</f>
        <v>0</v>
      </c>
      <c r="BF8" s="93">
        <f>IFERROR(VLOOKUP(BF$3,Drivers!$C$7:$F$35,4,FALSE),0)</f>
        <v>0</v>
      </c>
      <c r="BG8" s="94">
        <f>IFERROR(VLOOKUP(BG$3,Drivers!$C$7:$F$35,4,FALSE),0)</f>
        <v>0</v>
      </c>
      <c r="BH8" s="94">
        <f>IFERROR(VLOOKUP(BH$3,Drivers!$C$7:$F$35,4,FALSE),0)</f>
        <v>0</v>
      </c>
      <c r="BI8" s="94">
        <f>IFERROR(VLOOKUP(BI$3,Drivers!$C$7:$F$35,4,FALSE),0)</f>
        <v>0</v>
      </c>
      <c r="BJ8" s="94">
        <f>IFERROR(VLOOKUP(BJ$3,Drivers!$C$7:$F$35,4,FALSE),0)</f>
        <v>0</v>
      </c>
      <c r="BK8" s="94">
        <f>IFERROR(VLOOKUP(BK$3,Drivers!$C$7:$F$35,4,FALSE),0)</f>
        <v>0</v>
      </c>
      <c r="BL8" s="94">
        <f>IFERROR(VLOOKUP(BL$3,Drivers!$C$7:$F$35,4,FALSE),0)</f>
        <v>0</v>
      </c>
      <c r="BM8" s="94">
        <f>IFERROR(VLOOKUP(BM$3,Drivers!$C$7:$F$35,4,FALSE),0)</f>
        <v>0</v>
      </c>
      <c r="BN8" s="94">
        <f>IFERROR(VLOOKUP(BN$3,Drivers!$C$7:$F$35,4,FALSE),0)</f>
        <v>0</v>
      </c>
      <c r="BO8" s="94">
        <f>IFERROR(VLOOKUP(BO$3,Drivers!$C$7:$F$35,4,FALSE),0)</f>
        <v>0</v>
      </c>
      <c r="BP8" s="94">
        <f>IFERROR(VLOOKUP(BP$3,Drivers!$C$7:$F$35,4,FALSE),0)</f>
        <v>0</v>
      </c>
      <c r="BQ8" s="94">
        <f>IFERROR(VLOOKUP(BQ$3,Drivers!$C$7:$F$35,4,FALSE),0)</f>
        <v>0</v>
      </c>
      <c r="BR8" s="93">
        <f>IFERROR(VLOOKUP(BR$3,Drivers!$C$7:$F$35,4,FALSE),0)</f>
        <v>0</v>
      </c>
    </row>
    <row r="9" spans="1:70" s="49" customFormat="1" ht="13.2" x14ac:dyDescent="0.3">
      <c r="A9" s="135"/>
      <c r="C9" s="14" t="s">
        <v>101</v>
      </c>
      <c r="E9" s="90"/>
      <c r="F9" s="90"/>
      <c r="G9" s="90"/>
      <c r="H9" s="90"/>
      <c r="I9" s="90"/>
      <c r="J9" s="118"/>
      <c r="K9" s="90">
        <f t="shared" ref="K9:AP9" si="6">SUM(K6:K8)</f>
        <v>0</v>
      </c>
      <c r="L9" s="91">
        <f t="shared" si="6"/>
        <v>0</v>
      </c>
      <c r="M9" s="91">
        <f t="shared" si="6"/>
        <v>0</v>
      </c>
      <c r="N9" s="91">
        <f t="shared" si="6"/>
        <v>0</v>
      </c>
      <c r="O9" s="91">
        <f t="shared" si="6"/>
        <v>0</v>
      </c>
      <c r="P9" s="91">
        <f t="shared" si="6"/>
        <v>45</v>
      </c>
      <c r="Q9" s="90">
        <f t="shared" si="6"/>
        <v>0</v>
      </c>
      <c r="R9" s="90">
        <f t="shared" si="6"/>
        <v>0</v>
      </c>
      <c r="S9" s="90">
        <f t="shared" si="6"/>
        <v>0</v>
      </c>
      <c r="T9" s="90">
        <f t="shared" si="6"/>
        <v>0</v>
      </c>
      <c r="U9" s="90">
        <f t="shared" si="6"/>
        <v>0</v>
      </c>
      <c r="V9" s="90">
        <f t="shared" si="6"/>
        <v>0</v>
      </c>
      <c r="W9" s="90">
        <f t="shared" si="6"/>
        <v>110</v>
      </c>
      <c r="X9" s="91">
        <f t="shared" si="6"/>
        <v>0</v>
      </c>
      <c r="Y9" s="91">
        <f t="shared" si="6"/>
        <v>0</v>
      </c>
      <c r="Z9" s="91">
        <f t="shared" si="6"/>
        <v>0</v>
      </c>
      <c r="AA9" s="91">
        <f t="shared" si="6"/>
        <v>0</v>
      </c>
      <c r="AB9" s="91">
        <f t="shared" si="6"/>
        <v>0</v>
      </c>
      <c r="AC9" s="90">
        <f t="shared" si="6"/>
        <v>0</v>
      </c>
      <c r="AD9" s="90">
        <f t="shared" si="6"/>
        <v>0</v>
      </c>
      <c r="AE9" s="90">
        <f t="shared" si="6"/>
        <v>0</v>
      </c>
      <c r="AF9" s="90">
        <f t="shared" si="6"/>
        <v>0</v>
      </c>
      <c r="AG9" s="90">
        <f t="shared" si="6"/>
        <v>0</v>
      </c>
      <c r="AH9" s="90">
        <f t="shared" si="6"/>
        <v>0</v>
      </c>
      <c r="AI9" s="90">
        <f t="shared" si="6"/>
        <v>0</v>
      </c>
      <c r="AJ9" s="91">
        <f t="shared" si="6"/>
        <v>0</v>
      </c>
      <c r="AK9" s="91">
        <f t="shared" si="6"/>
        <v>0</v>
      </c>
      <c r="AL9" s="91">
        <f t="shared" si="6"/>
        <v>0</v>
      </c>
      <c r="AM9" s="91">
        <f t="shared" si="6"/>
        <v>0</v>
      </c>
      <c r="AN9" s="91">
        <f t="shared" si="6"/>
        <v>0</v>
      </c>
      <c r="AO9" s="90">
        <f t="shared" si="6"/>
        <v>0</v>
      </c>
      <c r="AP9" s="90">
        <f t="shared" si="6"/>
        <v>0</v>
      </c>
      <c r="AQ9" s="90">
        <f t="shared" ref="AQ9:BR9" si="7">SUM(AQ6:AQ8)</f>
        <v>0</v>
      </c>
      <c r="AR9" s="90">
        <f t="shared" si="7"/>
        <v>0</v>
      </c>
      <c r="AS9" s="90">
        <f t="shared" si="7"/>
        <v>0</v>
      </c>
      <c r="AT9" s="90">
        <f t="shared" si="7"/>
        <v>0</v>
      </c>
      <c r="AU9" s="90">
        <f t="shared" si="7"/>
        <v>0</v>
      </c>
      <c r="AV9" s="91">
        <f t="shared" si="7"/>
        <v>0</v>
      </c>
      <c r="AW9" s="91">
        <f t="shared" si="7"/>
        <v>0</v>
      </c>
      <c r="AX9" s="91">
        <f t="shared" si="7"/>
        <v>0</v>
      </c>
      <c r="AY9" s="91">
        <f t="shared" si="7"/>
        <v>0</v>
      </c>
      <c r="AZ9" s="91">
        <f t="shared" si="7"/>
        <v>0</v>
      </c>
      <c r="BA9" s="90">
        <f t="shared" si="7"/>
        <v>0</v>
      </c>
      <c r="BB9" s="90">
        <f t="shared" si="7"/>
        <v>0</v>
      </c>
      <c r="BC9" s="90">
        <f t="shared" si="7"/>
        <v>0</v>
      </c>
      <c r="BD9" s="90">
        <f t="shared" si="7"/>
        <v>0</v>
      </c>
      <c r="BE9" s="90">
        <f t="shared" si="7"/>
        <v>0</v>
      </c>
      <c r="BF9" s="90">
        <f t="shared" si="7"/>
        <v>0</v>
      </c>
      <c r="BG9" s="90">
        <f t="shared" si="7"/>
        <v>0</v>
      </c>
      <c r="BH9" s="91">
        <f t="shared" si="7"/>
        <v>0</v>
      </c>
      <c r="BI9" s="91">
        <f t="shared" si="7"/>
        <v>0</v>
      </c>
      <c r="BJ9" s="91">
        <f t="shared" si="7"/>
        <v>0</v>
      </c>
      <c r="BK9" s="91">
        <f t="shared" si="7"/>
        <v>0</v>
      </c>
      <c r="BL9" s="91">
        <f t="shared" si="7"/>
        <v>0</v>
      </c>
      <c r="BM9" s="90">
        <f t="shared" si="7"/>
        <v>0</v>
      </c>
      <c r="BN9" s="90">
        <f t="shared" si="7"/>
        <v>0</v>
      </c>
      <c r="BO9" s="90">
        <f t="shared" si="7"/>
        <v>0</v>
      </c>
      <c r="BP9" s="90">
        <f t="shared" si="7"/>
        <v>0</v>
      </c>
      <c r="BQ9" s="90">
        <f t="shared" si="7"/>
        <v>0</v>
      </c>
      <c r="BR9" s="90">
        <f t="shared" si="7"/>
        <v>0</v>
      </c>
    </row>
    <row r="10" spans="1:70" ht="13.2" x14ac:dyDescent="0.3">
      <c r="B10" s="34"/>
      <c r="C10" s="14" t="s">
        <v>102</v>
      </c>
      <c r="D10" s="14"/>
      <c r="E10" s="90">
        <f>SUM(K10:V10)</f>
        <v>5788.4603088640351</v>
      </c>
      <c r="F10" s="90">
        <f>SUM(W10:AH10)</f>
        <v>6096.2593887798221</v>
      </c>
      <c r="G10" s="90">
        <f t="shared" si="3"/>
        <v>6420.4255626276372</v>
      </c>
      <c r="H10" s="90">
        <f t="shared" si="4"/>
        <v>6761.8291441324391</v>
      </c>
      <c r="I10" s="90">
        <f t="shared" si="5"/>
        <v>7121.3867256061494</v>
      </c>
      <c r="J10" s="113"/>
      <c r="K10" s="90">
        <f>Income!K6</f>
        <v>471</v>
      </c>
      <c r="L10" s="91">
        <f>Income!L6</f>
        <v>473.03790067019946</v>
      </c>
      <c r="M10" s="91">
        <f>Income!M6</f>
        <v>475.08461883326862</v>
      </c>
      <c r="N10" s="91">
        <f>Income!N6</f>
        <v>477.14019264032123</v>
      </c>
      <c r="O10" s="91">
        <f>Income!O6</f>
        <v>479.20466040754167</v>
      </c>
      <c r="P10" s="91">
        <f>Income!P6</f>
        <v>481.27806061689887</v>
      </c>
      <c r="Q10" s="90">
        <f>Income!Q6</f>
        <v>483.36043191686377</v>
      </c>
      <c r="R10" s="90">
        <f>Income!R6</f>
        <v>485.4518131231298</v>
      </c>
      <c r="S10" s="90">
        <f>Income!S6</f>
        <v>487.55224321933622</v>
      </c>
      <c r="T10" s="90">
        <f>Income!T6</f>
        <v>489.66176135779466</v>
      </c>
      <c r="U10" s="90">
        <f>Income!U6</f>
        <v>491.78040686021961</v>
      </c>
      <c r="V10" s="90">
        <f>Income!V6</f>
        <v>493.90821921846032</v>
      </c>
      <c r="W10" s="90">
        <f>Income!W6</f>
        <v>496.04523809523812</v>
      </c>
      <c r="X10" s="91">
        <f>Income!X6</f>
        <v>498.19150332488471</v>
      </c>
      <c r="Y10" s="91">
        <f>Income!Y6</f>
        <v>500.34705491408539</v>
      </c>
      <c r="Z10" s="91">
        <f>Income!Z6</f>
        <v>502.51193304262404</v>
      </c>
      <c r="AA10" s="91">
        <f>Income!AA6</f>
        <v>504.68617806413323</v>
      </c>
      <c r="AB10" s="91">
        <f>Income!AB6</f>
        <v>506.86983050684512</v>
      </c>
      <c r="AC10" s="90">
        <f>Income!AC6</f>
        <v>509.06293107434783</v>
      </c>
      <c r="AD10" s="90">
        <f>Income!AD6</f>
        <v>511.26552064634399</v>
      </c>
      <c r="AE10" s="90">
        <f>Income!AE6</f>
        <v>513.47764027941196</v>
      </c>
      <c r="AF10" s="90">
        <f>Income!AF6</f>
        <v>515.69933120777273</v>
      </c>
      <c r="AG10" s="90">
        <f>Income!AG6</f>
        <v>517.93063484405661</v>
      </c>
      <c r="AH10" s="90">
        <f>Income!AH6</f>
        <v>520.17159278007694</v>
      </c>
      <c r="AI10" s="90">
        <f>Income!AI6</f>
        <v>522.42224678760397</v>
      </c>
      <c r="AJ10" s="91">
        <f>Income!AJ6</f>
        <v>524.68263881914459</v>
      </c>
      <c r="AK10" s="91">
        <f>Income!AK6</f>
        <v>526.95281100872307</v>
      </c>
      <c r="AL10" s="91">
        <f>Income!AL6</f>
        <v>529.23280567266841</v>
      </c>
      <c r="AM10" s="91">
        <f>Income!AM6</f>
        <v>531.52266531040073</v>
      </c>
      <c r="AN10" s="91">
        <f>Income!AN6</f>
        <v>533.822432605225</v>
      </c>
      <c r="AO10" s="90">
        <f>Income!AO6</f>
        <v>536.13215042512672</v>
      </c>
      <c r="AP10" s="90">
        <f>Income!AP6</f>
        <v>538.4518618235702</v>
      </c>
      <c r="AQ10" s="90">
        <f>Income!AQ6</f>
        <v>540.7816100403013</v>
      </c>
      <c r="AR10" s="90">
        <f>Income!AR6</f>
        <v>543.12143850215421</v>
      </c>
      <c r="AS10" s="90">
        <f>Income!AS6</f>
        <v>545.47139082385956</v>
      </c>
      <c r="AT10" s="90">
        <f>Income!AT6</f>
        <v>547.83151080885875</v>
      </c>
      <c r="AU10" s="90">
        <f>Income!AU6</f>
        <v>550.20184245011933</v>
      </c>
      <c r="AV10" s="91">
        <f>Income!AV6</f>
        <v>552.5824299309561</v>
      </c>
      <c r="AW10" s="91">
        <f>Income!AW6</f>
        <v>554.97331762585384</v>
      </c>
      <c r="AX10" s="91">
        <f>Income!AX6</f>
        <v>557.3745501012944</v>
      </c>
      <c r="AY10" s="91">
        <f>Income!AY6</f>
        <v>559.78617211658866</v>
      </c>
      <c r="AZ10" s="91">
        <f>Income!AZ6</f>
        <v>562.20822862470914</v>
      </c>
      <c r="BA10" s="90">
        <f>Income!BA6</f>
        <v>564.64076477312949</v>
      </c>
      <c r="BB10" s="90">
        <f>Income!BB6</f>
        <v>567.08382590466488</v>
      </c>
      <c r="BC10" s="90">
        <f>Income!BC6</f>
        <v>569.53745755831744</v>
      </c>
      <c r="BD10" s="90">
        <f>Income!BD6</f>
        <v>572.00170547012601</v>
      </c>
      <c r="BE10" s="90">
        <f>Income!BE6</f>
        <v>574.47661557401739</v>
      </c>
      <c r="BF10" s="90">
        <f>Income!BF6</f>
        <v>576.96223400266319</v>
      </c>
      <c r="BG10" s="90">
        <f>Income!BG6</f>
        <v>579.45860708834005</v>
      </c>
      <c r="BH10" s="91">
        <f>Income!BH6</f>
        <v>581.96578136379264</v>
      </c>
      <c r="BI10" s="91">
        <f>Income!BI6</f>
        <v>584.48380356310145</v>
      </c>
      <c r="BJ10" s="91">
        <f>Income!BJ6</f>
        <v>587.01272062255373</v>
      </c>
      <c r="BK10" s="91">
        <f>Income!BK6</f>
        <v>589.55257968151841</v>
      </c>
      <c r="BL10" s="91">
        <f>Income!BL6</f>
        <v>592.10342808332462</v>
      </c>
      <c r="BM10" s="90">
        <f>Income!BM6</f>
        <v>594.66531337614515</v>
      </c>
      <c r="BN10" s="90">
        <f>Income!BN6</f>
        <v>597.2382833138812</v>
      </c>
      <c r="BO10" s="90">
        <f>Income!BO6</f>
        <v>599.8223858570534</v>
      </c>
      <c r="BP10" s="90">
        <f>Income!BP6</f>
        <v>602.41766917369625</v>
      </c>
      <c r="BQ10" s="90">
        <f>Income!BQ6</f>
        <v>605.02418164025471</v>
      </c>
      <c r="BR10" s="90">
        <f>Income!BR6</f>
        <v>607.64197184248746</v>
      </c>
    </row>
    <row r="11" spans="1:70" ht="13.2" x14ac:dyDescent="0.3">
      <c r="A11" s="13"/>
      <c r="B11" s="5"/>
      <c r="C11" s="61" t="s">
        <v>188</v>
      </c>
      <c r="D11" s="14"/>
      <c r="E11" s="89">
        <f t="shared" si="1"/>
        <v>2604.807138988815</v>
      </c>
      <c r="F11" s="89">
        <f t="shared" si="2"/>
        <v>2743.3167249509188</v>
      </c>
      <c r="G11" s="89">
        <f t="shared" si="3"/>
        <v>2889.1915031824365</v>
      </c>
      <c r="H11" s="89">
        <f t="shared" si="4"/>
        <v>3042.8231148595983</v>
      </c>
      <c r="I11" s="89">
        <f t="shared" si="5"/>
        <v>3204.6240265227675</v>
      </c>
      <c r="J11" s="88"/>
      <c r="K11" s="90">
        <f t="shared" ref="K11:AP11" si="8">TermsCollectCash*K10</f>
        <v>211.95000000000002</v>
      </c>
      <c r="L11" s="91">
        <f t="shared" si="8"/>
        <v>212.86705530158977</v>
      </c>
      <c r="M11" s="91">
        <f t="shared" si="8"/>
        <v>213.78807847497089</v>
      </c>
      <c r="N11" s="91">
        <f t="shared" si="8"/>
        <v>214.71308668814456</v>
      </c>
      <c r="O11" s="91">
        <f t="shared" si="8"/>
        <v>215.64209718339376</v>
      </c>
      <c r="P11" s="91">
        <f t="shared" si="8"/>
        <v>216.57512727760451</v>
      </c>
      <c r="Q11" s="91">
        <f t="shared" si="8"/>
        <v>217.5121943625887</v>
      </c>
      <c r="R11" s="91">
        <f t="shared" si="8"/>
        <v>218.4533159054084</v>
      </c>
      <c r="S11" s="91">
        <f t="shared" si="8"/>
        <v>219.3985094487013</v>
      </c>
      <c r="T11" s="91">
        <f t="shared" si="8"/>
        <v>220.34779261100761</v>
      </c>
      <c r="U11" s="91">
        <f t="shared" si="8"/>
        <v>221.30118308709882</v>
      </c>
      <c r="V11" s="89">
        <f t="shared" si="8"/>
        <v>222.25869864830716</v>
      </c>
      <c r="W11" s="90">
        <f t="shared" si="8"/>
        <v>223.22035714285715</v>
      </c>
      <c r="X11" s="91">
        <f t="shared" si="8"/>
        <v>224.18617649619813</v>
      </c>
      <c r="Y11" s="91">
        <f t="shared" si="8"/>
        <v>225.15617471133842</v>
      </c>
      <c r="Z11" s="91">
        <f t="shared" si="8"/>
        <v>226.13036986918081</v>
      </c>
      <c r="AA11" s="91">
        <f t="shared" si="8"/>
        <v>227.10878012885996</v>
      </c>
      <c r="AB11" s="91">
        <f t="shared" si="8"/>
        <v>228.09142372808031</v>
      </c>
      <c r="AC11" s="91">
        <f t="shared" si="8"/>
        <v>229.07831898345654</v>
      </c>
      <c r="AD11" s="91">
        <f t="shared" si="8"/>
        <v>230.0694842908548</v>
      </c>
      <c r="AE11" s="91">
        <f t="shared" si="8"/>
        <v>231.06493812573538</v>
      </c>
      <c r="AF11" s="91">
        <f t="shared" si="8"/>
        <v>232.06469904349774</v>
      </c>
      <c r="AG11" s="91">
        <f t="shared" si="8"/>
        <v>233.06878567982548</v>
      </c>
      <c r="AH11" s="89">
        <f t="shared" si="8"/>
        <v>234.07721675103463</v>
      </c>
      <c r="AI11" s="90">
        <f t="shared" si="8"/>
        <v>235.09001105442178</v>
      </c>
      <c r="AJ11" s="91">
        <f t="shared" si="8"/>
        <v>236.10718746861508</v>
      </c>
      <c r="AK11" s="91">
        <f t="shared" si="8"/>
        <v>237.12876495392538</v>
      </c>
      <c r="AL11" s="91">
        <f t="shared" si="8"/>
        <v>238.15476255270079</v>
      </c>
      <c r="AM11" s="91">
        <f t="shared" si="8"/>
        <v>239.18519938968032</v>
      </c>
      <c r="AN11" s="91">
        <f t="shared" si="8"/>
        <v>240.22009467235125</v>
      </c>
      <c r="AO11" s="91">
        <f t="shared" si="8"/>
        <v>241.25946769130704</v>
      </c>
      <c r="AP11" s="91">
        <f t="shared" si="8"/>
        <v>242.3033378206066</v>
      </c>
      <c r="AQ11" s="91">
        <f t="shared" ref="AQ11:BR11" si="9">TermsCollectCash*AQ10</f>
        <v>243.3517245181356</v>
      </c>
      <c r="AR11" s="91">
        <f t="shared" si="9"/>
        <v>244.40464732596939</v>
      </c>
      <c r="AS11" s="91">
        <f t="shared" si="9"/>
        <v>245.4621258707368</v>
      </c>
      <c r="AT11" s="89">
        <f t="shared" si="9"/>
        <v>246.52417986398643</v>
      </c>
      <c r="AU11" s="90">
        <f t="shared" si="9"/>
        <v>247.5908291025537</v>
      </c>
      <c r="AV11" s="91">
        <f t="shared" si="9"/>
        <v>248.66209346893024</v>
      </c>
      <c r="AW11" s="91">
        <f t="shared" si="9"/>
        <v>249.73799293163424</v>
      </c>
      <c r="AX11" s="91">
        <f t="shared" si="9"/>
        <v>250.81854754558248</v>
      </c>
      <c r="AY11" s="91">
        <f t="shared" si="9"/>
        <v>251.90377745246491</v>
      </c>
      <c r="AZ11" s="91">
        <f t="shared" si="9"/>
        <v>252.99370288111911</v>
      </c>
      <c r="BA11" s="91">
        <f t="shared" si="9"/>
        <v>254.08834414790829</v>
      </c>
      <c r="BB11" s="91">
        <f t="shared" si="9"/>
        <v>255.18772165709919</v>
      </c>
      <c r="BC11" s="91">
        <f t="shared" si="9"/>
        <v>256.29185590124285</v>
      </c>
      <c r="BD11" s="91">
        <f t="shared" si="9"/>
        <v>257.40076746155671</v>
      </c>
      <c r="BE11" s="91">
        <f t="shared" si="9"/>
        <v>258.51447700830784</v>
      </c>
      <c r="BF11" s="89">
        <f t="shared" si="9"/>
        <v>259.63300530119847</v>
      </c>
      <c r="BG11" s="90">
        <f t="shared" si="9"/>
        <v>260.75637318975305</v>
      </c>
      <c r="BH11" s="91">
        <f t="shared" si="9"/>
        <v>261.88460161370671</v>
      </c>
      <c r="BI11" s="91">
        <f t="shared" si="9"/>
        <v>263.01771160339564</v>
      </c>
      <c r="BJ11" s="91">
        <f t="shared" si="9"/>
        <v>264.15572428014917</v>
      </c>
      <c r="BK11" s="91">
        <f t="shared" si="9"/>
        <v>265.29866085668328</v>
      </c>
      <c r="BL11" s="91">
        <f t="shared" si="9"/>
        <v>266.44654263749607</v>
      </c>
      <c r="BM11" s="91">
        <f t="shared" si="9"/>
        <v>267.59939101926534</v>
      </c>
      <c r="BN11" s="91">
        <f t="shared" si="9"/>
        <v>268.75722749124657</v>
      </c>
      <c r="BO11" s="91">
        <f t="shared" si="9"/>
        <v>269.92007363567404</v>
      </c>
      <c r="BP11" s="91">
        <f t="shared" si="9"/>
        <v>271.0879511281633</v>
      </c>
      <c r="BQ11" s="91">
        <f t="shared" si="9"/>
        <v>272.26088173811462</v>
      </c>
      <c r="BR11" s="89">
        <f t="shared" si="9"/>
        <v>273.43888732911938</v>
      </c>
    </row>
    <row r="12" spans="1:70" ht="13.2" x14ac:dyDescent="0.3">
      <c r="A12" s="13"/>
      <c r="B12" s="5"/>
      <c r="C12" s="61" t="s">
        <v>187</v>
      </c>
      <c r="D12" s="14"/>
      <c r="E12" s="89">
        <f t="shared" si="1"/>
        <v>2912.0036493050657</v>
      </c>
      <c r="F12" s="89">
        <f t="shared" si="2"/>
        <v>3338.4978083700121</v>
      </c>
      <c r="G12" s="89">
        <f t="shared" si="3"/>
        <v>3516.0211045293709</v>
      </c>
      <c r="H12" s="89">
        <f t="shared" si="4"/>
        <v>3702.9841315162498</v>
      </c>
      <c r="I12" s="89">
        <f t="shared" si="5"/>
        <v>3899.8888432714789</v>
      </c>
      <c r="J12" s="88"/>
      <c r="K12" s="90"/>
      <c r="L12" s="91">
        <f t="shared" ref="L12:AQ12" si="10">TermsCollectCredit*K10</f>
        <v>259.05</v>
      </c>
      <c r="M12" s="91">
        <f t="shared" si="10"/>
        <v>260.17084536860972</v>
      </c>
      <c r="N12" s="91">
        <f t="shared" si="10"/>
        <v>261.29654035829776</v>
      </c>
      <c r="O12" s="91">
        <f t="shared" si="10"/>
        <v>262.4271059521767</v>
      </c>
      <c r="P12" s="91">
        <f t="shared" si="10"/>
        <v>263.56256322414794</v>
      </c>
      <c r="Q12" s="91">
        <f t="shared" si="10"/>
        <v>264.70293333929442</v>
      </c>
      <c r="R12" s="91">
        <f t="shared" si="10"/>
        <v>265.8482375542751</v>
      </c>
      <c r="S12" s="91">
        <f t="shared" si="10"/>
        <v>266.99849721772142</v>
      </c>
      <c r="T12" s="91">
        <f t="shared" si="10"/>
        <v>268.15373377063491</v>
      </c>
      <c r="U12" s="91">
        <f t="shared" si="10"/>
        <v>269.31396874678711</v>
      </c>
      <c r="V12" s="89">
        <f t="shared" si="10"/>
        <v>270.47922377312079</v>
      </c>
      <c r="W12" s="90">
        <f t="shared" si="10"/>
        <v>271.64952057015319</v>
      </c>
      <c r="X12" s="91">
        <f t="shared" si="10"/>
        <v>272.82488095238097</v>
      </c>
      <c r="Y12" s="91">
        <f t="shared" si="10"/>
        <v>274.00532682868663</v>
      </c>
      <c r="Z12" s="91">
        <f t="shared" si="10"/>
        <v>275.190880202747</v>
      </c>
      <c r="AA12" s="91">
        <f t="shared" si="10"/>
        <v>276.38156317344323</v>
      </c>
      <c r="AB12" s="91">
        <f t="shared" si="10"/>
        <v>277.57739793527332</v>
      </c>
      <c r="AC12" s="91">
        <f t="shared" si="10"/>
        <v>278.77840677876486</v>
      </c>
      <c r="AD12" s="91">
        <f t="shared" si="10"/>
        <v>279.98461209089135</v>
      </c>
      <c r="AE12" s="91">
        <f t="shared" si="10"/>
        <v>281.19603635548924</v>
      </c>
      <c r="AF12" s="91">
        <f t="shared" si="10"/>
        <v>282.41270215367661</v>
      </c>
      <c r="AG12" s="91">
        <f t="shared" si="10"/>
        <v>283.63463216427505</v>
      </c>
      <c r="AH12" s="89">
        <f t="shared" si="10"/>
        <v>284.86184916423116</v>
      </c>
      <c r="AI12" s="90">
        <f t="shared" si="10"/>
        <v>286.09437602904234</v>
      </c>
      <c r="AJ12" s="91">
        <f t="shared" si="10"/>
        <v>287.33223573318219</v>
      </c>
      <c r="AK12" s="91">
        <f t="shared" si="10"/>
        <v>288.57545135052953</v>
      </c>
      <c r="AL12" s="91">
        <f t="shared" si="10"/>
        <v>289.82404605479769</v>
      </c>
      <c r="AM12" s="91">
        <f t="shared" si="10"/>
        <v>291.07804311996767</v>
      </c>
      <c r="AN12" s="91">
        <f t="shared" si="10"/>
        <v>292.33746592072043</v>
      </c>
      <c r="AO12" s="91">
        <f t="shared" si="10"/>
        <v>293.60233793287375</v>
      </c>
      <c r="AP12" s="91">
        <f t="shared" si="10"/>
        <v>294.87268273381972</v>
      </c>
      <c r="AQ12" s="91">
        <f t="shared" si="10"/>
        <v>296.14852400296365</v>
      </c>
      <c r="AR12" s="91">
        <f t="shared" ref="AR12:BR12" si="11">TermsCollectCredit*AQ10</f>
        <v>297.42988552216576</v>
      </c>
      <c r="AS12" s="91">
        <f t="shared" si="11"/>
        <v>298.71679117618481</v>
      </c>
      <c r="AT12" s="89">
        <f t="shared" si="11"/>
        <v>300.00926495312279</v>
      </c>
      <c r="AU12" s="90">
        <f t="shared" si="11"/>
        <v>301.30733094487232</v>
      </c>
      <c r="AV12" s="91">
        <f t="shared" si="11"/>
        <v>302.61101334756563</v>
      </c>
      <c r="AW12" s="91">
        <f t="shared" si="11"/>
        <v>303.92033646202589</v>
      </c>
      <c r="AX12" s="91">
        <f t="shared" si="11"/>
        <v>305.23532469421963</v>
      </c>
      <c r="AY12" s="91">
        <f t="shared" si="11"/>
        <v>306.55600255571193</v>
      </c>
      <c r="AZ12" s="91">
        <f t="shared" si="11"/>
        <v>307.88239466412381</v>
      </c>
      <c r="BA12" s="91">
        <f t="shared" si="11"/>
        <v>309.21452574359006</v>
      </c>
      <c r="BB12" s="91">
        <f t="shared" si="11"/>
        <v>310.55242062522126</v>
      </c>
      <c r="BC12" s="91">
        <f t="shared" si="11"/>
        <v>311.89610424756569</v>
      </c>
      <c r="BD12" s="91">
        <f t="shared" si="11"/>
        <v>313.24560165707464</v>
      </c>
      <c r="BE12" s="91">
        <f t="shared" si="11"/>
        <v>314.60093800856936</v>
      </c>
      <c r="BF12" s="89">
        <f t="shared" si="11"/>
        <v>315.96213856570961</v>
      </c>
      <c r="BG12" s="90">
        <f t="shared" si="11"/>
        <v>317.32922870146479</v>
      </c>
      <c r="BH12" s="91">
        <f t="shared" si="11"/>
        <v>318.70223389858705</v>
      </c>
      <c r="BI12" s="91">
        <f t="shared" si="11"/>
        <v>320.08117975008599</v>
      </c>
      <c r="BJ12" s="91">
        <f t="shared" si="11"/>
        <v>321.46609195970581</v>
      </c>
      <c r="BK12" s="91">
        <f t="shared" si="11"/>
        <v>322.85699634240456</v>
      </c>
      <c r="BL12" s="91">
        <f t="shared" si="11"/>
        <v>324.25391882483513</v>
      </c>
      <c r="BM12" s="91">
        <f t="shared" si="11"/>
        <v>325.65688544582855</v>
      </c>
      <c r="BN12" s="91">
        <f t="shared" si="11"/>
        <v>327.06592235687987</v>
      </c>
      <c r="BO12" s="91">
        <f t="shared" si="11"/>
        <v>328.48105582263469</v>
      </c>
      <c r="BP12" s="91">
        <f t="shared" si="11"/>
        <v>329.90231222137942</v>
      </c>
      <c r="BQ12" s="91">
        <f t="shared" si="11"/>
        <v>331.32971804553296</v>
      </c>
      <c r="BR12" s="89">
        <f t="shared" si="11"/>
        <v>332.76329990214009</v>
      </c>
    </row>
    <row r="13" spans="1:70" ht="13.2" x14ac:dyDescent="0.3">
      <c r="A13" s="13"/>
      <c r="B13" s="5"/>
      <c r="C13" s="61" t="s">
        <v>191</v>
      </c>
      <c r="D13" s="14"/>
      <c r="E13" s="89">
        <f>SUM(K13:V13)</f>
        <v>5516.8107882938812</v>
      </c>
      <c r="F13" s="89">
        <f>SUM(W13:AH13)</f>
        <v>6081.8145333209322</v>
      </c>
      <c r="G13" s="89">
        <f t="shared" ref="G13" si="12">SUM(AI13:AT13)</f>
        <v>6405.2126077118064</v>
      </c>
      <c r="H13" s="89">
        <f t="shared" ref="H13" si="13">SUM(AU13:BF13)</f>
        <v>6745.8072463758481</v>
      </c>
      <c r="I13" s="89">
        <f>SUM(BG13:BR13)</f>
        <v>7104.5128697942455</v>
      </c>
      <c r="J13" s="88"/>
      <c r="K13" s="90">
        <f>SUM(K11:K12)</f>
        <v>211.95000000000002</v>
      </c>
      <c r="L13" s="90">
        <f t="shared" ref="L13:BR13" si="14">SUM(L11:L12)</f>
        <v>471.91705530158981</v>
      </c>
      <c r="M13" s="91">
        <f t="shared" si="14"/>
        <v>473.95892384358058</v>
      </c>
      <c r="N13" s="91">
        <f t="shared" si="14"/>
        <v>476.00962704644235</v>
      </c>
      <c r="O13" s="91">
        <f t="shared" si="14"/>
        <v>478.06920313557043</v>
      </c>
      <c r="P13" s="91">
        <f t="shared" si="14"/>
        <v>480.13769050175245</v>
      </c>
      <c r="Q13" s="91">
        <f t="shared" si="14"/>
        <v>482.21512770188315</v>
      </c>
      <c r="R13" s="91">
        <f t="shared" si="14"/>
        <v>484.30155345968353</v>
      </c>
      <c r="S13" s="91">
        <f t="shared" si="14"/>
        <v>486.39700666642273</v>
      </c>
      <c r="T13" s="91">
        <f t="shared" si="14"/>
        <v>488.50152638164252</v>
      </c>
      <c r="U13" s="91">
        <f t="shared" si="14"/>
        <v>490.61515183388593</v>
      </c>
      <c r="V13" s="89">
        <f t="shared" si="14"/>
        <v>492.73792242142792</v>
      </c>
      <c r="W13" s="90">
        <f t="shared" si="14"/>
        <v>494.86987771301034</v>
      </c>
      <c r="X13" s="91">
        <f t="shared" si="14"/>
        <v>497.01105744857909</v>
      </c>
      <c r="Y13" s="91">
        <f t="shared" si="14"/>
        <v>499.16150154002503</v>
      </c>
      <c r="Z13" s="91">
        <f t="shared" si="14"/>
        <v>501.32125007192781</v>
      </c>
      <c r="AA13" s="91">
        <f t="shared" si="14"/>
        <v>503.49034330230319</v>
      </c>
      <c r="AB13" s="91">
        <f t="shared" si="14"/>
        <v>505.66882166335364</v>
      </c>
      <c r="AC13" s="91">
        <f t="shared" si="14"/>
        <v>507.8567257622214</v>
      </c>
      <c r="AD13" s="91">
        <f t="shared" si="14"/>
        <v>510.05409638174615</v>
      </c>
      <c r="AE13" s="91">
        <f t="shared" si="14"/>
        <v>512.26097448122459</v>
      </c>
      <c r="AF13" s="91">
        <f t="shared" si="14"/>
        <v>514.47740119717434</v>
      </c>
      <c r="AG13" s="91">
        <f t="shared" si="14"/>
        <v>516.7034178441005</v>
      </c>
      <c r="AH13" s="89">
        <f t="shared" si="14"/>
        <v>518.93906591526581</v>
      </c>
      <c r="AI13" s="90">
        <f t="shared" si="14"/>
        <v>521.18438708346412</v>
      </c>
      <c r="AJ13" s="91">
        <f t="shared" si="14"/>
        <v>523.43942320179724</v>
      </c>
      <c r="AK13" s="91">
        <f t="shared" si="14"/>
        <v>525.70421630445492</v>
      </c>
      <c r="AL13" s="91">
        <f t="shared" si="14"/>
        <v>527.97880860749842</v>
      </c>
      <c r="AM13" s="91">
        <f t="shared" si="14"/>
        <v>530.26324250964797</v>
      </c>
      <c r="AN13" s="91">
        <f t="shared" si="14"/>
        <v>532.55756059307168</v>
      </c>
      <c r="AO13" s="91">
        <f t="shared" si="14"/>
        <v>534.86180562418076</v>
      </c>
      <c r="AP13" s="91">
        <f t="shared" si="14"/>
        <v>537.17602055442626</v>
      </c>
      <c r="AQ13" s="91">
        <f t="shared" si="14"/>
        <v>539.50024852109925</v>
      </c>
      <c r="AR13" s="91">
        <f t="shared" si="14"/>
        <v>541.83453284813515</v>
      </c>
      <c r="AS13" s="91">
        <f t="shared" si="14"/>
        <v>544.17891704692158</v>
      </c>
      <c r="AT13" s="89">
        <f t="shared" si="14"/>
        <v>546.53344481710928</v>
      </c>
      <c r="AU13" s="90">
        <f t="shared" si="14"/>
        <v>548.89816004742602</v>
      </c>
      <c r="AV13" s="91">
        <f t="shared" si="14"/>
        <v>551.2731068164959</v>
      </c>
      <c r="AW13" s="91">
        <f t="shared" si="14"/>
        <v>553.6583293936601</v>
      </c>
      <c r="AX13" s="91">
        <f t="shared" si="14"/>
        <v>556.0538722398021</v>
      </c>
      <c r="AY13" s="91">
        <f t="shared" si="14"/>
        <v>558.45978000817684</v>
      </c>
      <c r="AZ13" s="91">
        <f t="shared" si="14"/>
        <v>560.87609754524294</v>
      </c>
      <c r="BA13" s="91">
        <f t="shared" si="14"/>
        <v>563.3028698914984</v>
      </c>
      <c r="BB13" s="91">
        <f t="shared" si="14"/>
        <v>565.74014228232045</v>
      </c>
      <c r="BC13" s="91">
        <f t="shared" si="14"/>
        <v>568.18796014880854</v>
      </c>
      <c r="BD13" s="91">
        <f t="shared" si="14"/>
        <v>570.64636911863136</v>
      </c>
      <c r="BE13" s="91">
        <f t="shared" si="14"/>
        <v>573.11541501687725</v>
      </c>
      <c r="BF13" s="89">
        <f t="shared" si="14"/>
        <v>575.59514386690807</v>
      </c>
      <c r="BG13" s="90">
        <f t="shared" si="14"/>
        <v>578.08560189121783</v>
      </c>
      <c r="BH13" s="91">
        <f t="shared" si="14"/>
        <v>580.58683551229376</v>
      </c>
      <c r="BI13" s="91">
        <f t="shared" si="14"/>
        <v>583.09889135348158</v>
      </c>
      <c r="BJ13" s="91">
        <f t="shared" si="14"/>
        <v>585.62181623985498</v>
      </c>
      <c r="BK13" s="91">
        <f t="shared" si="14"/>
        <v>588.15565719908784</v>
      </c>
      <c r="BL13" s="91">
        <f t="shared" si="14"/>
        <v>590.70046146233119</v>
      </c>
      <c r="BM13" s="91">
        <f t="shared" si="14"/>
        <v>593.25627646509383</v>
      </c>
      <c r="BN13" s="91">
        <f t="shared" si="14"/>
        <v>595.82314984812638</v>
      </c>
      <c r="BO13" s="91">
        <f t="shared" si="14"/>
        <v>598.40112945830879</v>
      </c>
      <c r="BP13" s="91">
        <f t="shared" si="14"/>
        <v>600.99026334954272</v>
      </c>
      <c r="BQ13" s="91">
        <f t="shared" si="14"/>
        <v>603.59059978364758</v>
      </c>
      <c r="BR13" s="89">
        <f t="shared" si="14"/>
        <v>606.20218723125947</v>
      </c>
    </row>
    <row r="14" spans="1:70" s="183" customFormat="1" ht="13.2" x14ac:dyDescent="0.3">
      <c r="A14" s="187"/>
      <c r="B14" s="188"/>
      <c r="C14" s="180" t="s">
        <v>69</v>
      </c>
      <c r="E14" s="189">
        <f>V14</f>
        <v>271.64952057015273</v>
      </c>
      <c r="F14" s="189">
        <f>AH14</f>
        <v>286.09437602904143</v>
      </c>
      <c r="G14" s="189">
        <f>AT14</f>
        <v>301.3073309448713</v>
      </c>
      <c r="H14" s="189">
        <f>BF14</f>
        <v>317.32922870146319</v>
      </c>
      <c r="I14" s="189">
        <f>BR14</f>
        <v>334.20308451336632</v>
      </c>
      <c r="J14" s="190"/>
      <c r="K14" s="189">
        <f>K10-K13</f>
        <v>259.04999999999995</v>
      </c>
      <c r="L14" s="189">
        <f>K14+L10-L13</f>
        <v>260.17084536860955</v>
      </c>
      <c r="M14" s="191">
        <f t="shared" ref="M14:BR14" si="15">L14+M10-M13</f>
        <v>261.29654035829753</v>
      </c>
      <c r="N14" s="191">
        <f t="shared" si="15"/>
        <v>262.42710595217636</v>
      </c>
      <c r="O14" s="191">
        <f t="shared" si="15"/>
        <v>263.56256322414765</v>
      </c>
      <c r="P14" s="191">
        <f t="shared" si="15"/>
        <v>264.70293333929408</v>
      </c>
      <c r="Q14" s="189">
        <f t="shared" si="15"/>
        <v>265.84823755427465</v>
      </c>
      <c r="R14" s="189">
        <f t="shared" si="15"/>
        <v>266.99849721772091</v>
      </c>
      <c r="S14" s="189">
        <f t="shared" si="15"/>
        <v>268.1537337706344</v>
      </c>
      <c r="T14" s="189">
        <f t="shared" si="15"/>
        <v>269.3139687467866</v>
      </c>
      <c r="U14" s="189">
        <f t="shared" si="15"/>
        <v>270.47922377312028</v>
      </c>
      <c r="V14" s="189">
        <f t="shared" si="15"/>
        <v>271.64952057015273</v>
      </c>
      <c r="W14" s="189">
        <f t="shared" si="15"/>
        <v>272.82488095238051</v>
      </c>
      <c r="X14" s="191">
        <f t="shared" si="15"/>
        <v>274.00532682868607</v>
      </c>
      <c r="Y14" s="191">
        <f t="shared" si="15"/>
        <v>275.19088020274648</v>
      </c>
      <c r="Z14" s="191">
        <f t="shared" si="15"/>
        <v>276.38156317344271</v>
      </c>
      <c r="AA14" s="191">
        <f t="shared" si="15"/>
        <v>277.57739793527281</v>
      </c>
      <c r="AB14" s="191">
        <f t="shared" si="15"/>
        <v>278.77840677876424</v>
      </c>
      <c r="AC14" s="189">
        <f t="shared" si="15"/>
        <v>279.98461209089061</v>
      </c>
      <c r="AD14" s="189">
        <f t="shared" si="15"/>
        <v>281.19603635548845</v>
      </c>
      <c r="AE14" s="189">
        <f t="shared" si="15"/>
        <v>282.41270215367581</v>
      </c>
      <c r="AF14" s="189">
        <f t="shared" si="15"/>
        <v>283.63463216427419</v>
      </c>
      <c r="AG14" s="189">
        <f t="shared" si="15"/>
        <v>284.86184916423031</v>
      </c>
      <c r="AH14" s="189">
        <f t="shared" si="15"/>
        <v>286.09437602904143</v>
      </c>
      <c r="AI14" s="189">
        <f t="shared" si="15"/>
        <v>287.33223573318128</v>
      </c>
      <c r="AJ14" s="191">
        <f t="shared" si="15"/>
        <v>288.57545135052862</v>
      </c>
      <c r="AK14" s="191">
        <f t="shared" si="15"/>
        <v>289.82404605479678</v>
      </c>
      <c r="AL14" s="191">
        <f t="shared" si="15"/>
        <v>291.07804311996676</v>
      </c>
      <c r="AM14" s="191">
        <f t="shared" si="15"/>
        <v>292.33746592071952</v>
      </c>
      <c r="AN14" s="191">
        <f t="shared" si="15"/>
        <v>293.60233793287284</v>
      </c>
      <c r="AO14" s="189">
        <f t="shared" si="15"/>
        <v>294.87268273381881</v>
      </c>
      <c r="AP14" s="189">
        <f t="shared" si="15"/>
        <v>296.14852400296274</v>
      </c>
      <c r="AQ14" s="189">
        <f t="shared" si="15"/>
        <v>297.4298855221648</v>
      </c>
      <c r="AR14" s="189">
        <f t="shared" si="15"/>
        <v>298.71679117618385</v>
      </c>
      <c r="AS14" s="189">
        <f t="shared" si="15"/>
        <v>300.00926495312183</v>
      </c>
      <c r="AT14" s="189">
        <f t="shared" si="15"/>
        <v>301.3073309448713</v>
      </c>
      <c r="AU14" s="189">
        <f t="shared" si="15"/>
        <v>302.61101334756461</v>
      </c>
      <c r="AV14" s="191">
        <f t="shared" si="15"/>
        <v>303.92033646202481</v>
      </c>
      <c r="AW14" s="191">
        <f t="shared" si="15"/>
        <v>305.23532469421855</v>
      </c>
      <c r="AX14" s="191">
        <f t="shared" si="15"/>
        <v>306.55600255571085</v>
      </c>
      <c r="AY14" s="191">
        <f t="shared" si="15"/>
        <v>307.88239466412267</v>
      </c>
      <c r="AZ14" s="191">
        <f t="shared" si="15"/>
        <v>309.21452574358887</v>
      </c>
      <c r="BA14" s="189">
        <f t="shared" si="15"/>
        <v>310.55242062521995</v>
      </c>
      <c r="BB14" s="189">
        <f t="shared" si="15"/>
        <v>311.89610424756438</v>
      </c>
      <c r="BC14" s="189">
        <f t="shared" si="15"/>
        <v>313.24560165707328</v>
      </c>
      <c r="BD14" s="189">
        <f t="shared" si="15"/>
        <v>314.60093800856794</v>
      </c>
      <c r="BE14" s="189">
        <f t="shared" si="15"/>
        <v>315.96213856570807</v>
      </c>
      <c r="BF14" s="189">
        <f t="shared" si="15"/>
        <v>317.32922870146319</v>
      </c>
      <c r="BG14" s="189">
        <f t="shared" si="15"/>
        <v>318.7022338985854</v>
      </c>
      <c r="BH14" s="191">
        <f t="shared" si="15"/>
        <v>320.08117975008429</v>
      </c>
      <c r="BI14" s="191">
        <f t="shared" si="15"/>
        <v>321.46609195970416</v>
      </c>
      <c r="BJ14" s="191">
        <f t="shared" si="15"/>
        <v>322.85699634240291</v>
      </c>
      <c r="BK14" s="191">
        <f t="shared" si="15"/>
        <v>324.25391882483348</v>
      </c>
      <c r="BL14" s="191">
        <f t="shared" si="15"/>
        <v>325.6568854458269</v>
      </c>
      <c r="BM14" s="189">
        <f t="shared" si="15"/>
        <v>327.06592235687822</v>
      </c>
      <c r="BN14" s="189">
        <f t="shared" si="15"/>
        <v>328.48105582263304</v>
      </c>
      <c r="BO14" s="189">
        <f t="shared" si="15"/>
        <v>329.90231222137766</v>
      </c>
      <c r="BP14" s="189">
        <f t="shared" si="15"/>
        <v>331.32971804553119</v>
      </c>
      <c r="BQ14" s="189">
        <f t="shared" si="15"/>
        <v>332.76329990213833</v>
      </c>
      <c r="BR14" s="189">
        <f t="shared" si="15"/>
        <v>334.20308451336632</v>
      </c>
    </row>
    <row r="15" spans="1:70" s="75" customFormat="1" ht="13.2" x14ac:dyDescent="0.3">
      <c r="A15" s="134"/>
      <c r="C15" s="49" t="s">
        <v>103</v>
      </c>
      <c r="D15" s="49"/>
      <c r="E15" s="96">
        <f t="shared" ref="E15:E19" si="16">SUM(K15:V15)</f>
        <v>5561.8107882938812</v>
      </c>
      <c r="F15" s="96">
        <f>SUM(W15:AH15)</f>
        <v>6191.8145333209313</v>
      </c>
      <c r="G15" s="96">
        <f t="shared" ref="G15:G19" si="17">SUM(AI15:AT15)</f>
        <v>6405.2126077118064</v>
      </c>
      <c r="H15" s="96">
        <f t="shared" ref="H15:H19" si="18">SUM(AU15:BF15)</f>
        <v>6745.8072463758481</v>
      </c>
      <c r="I15" s="96">
        <f t="shared" ref="I15:I19" si="19">SUM(BG15:BR15)</f>
        <v>7104.5128697942455</v>
      </c>
      <c r="J15" s="138"/>
      <c r="K15" s="97">
        <f>SUM(K9,K11:K12)</f>
        <v>211.95000000000002</v>
      </c>
      <c r="L15" s="97">
        <f t="shared" ref="L15:BR15" si="20">SUM(L9,L11:L12)</f>
        <v>471.91705530158981</v>
      </c>
      <c r="M15" s="97">
        <f t="shared" si="20"/>
        <v>473.95892384358058</v>
      </c>
      <c r="N15" s="97">
        <f t="shared" si="20"/>
        <v>476.00962704644235</v>
      </c>
      <c r="O15" s="97">
        <f t="shared" si="20"/>
        <v>478.06920313557043</v>
      </c>
      <c r="P15" s="97">
        <f t="shared" si="20"/>
        <v>525.13769050175245</v>
      </c>
      <c r="Q15" s="97">
        <f t="shared" si="20"/>
        <v>482.21512770188315</v>
      </c>
      <c r="R15" s="97">
        <f t="shared" si="20"/>
        <v>484.30155345968353</v>
      </c>
      <c r="S15" s="97">
        <f t="shared" si="20"/>
        <v>486.39700666642273</v>
      </c>
      <c r="T15" s="97">
        <f t="shared" si="20"/>
        <v>488.50152638164252</v>
      </c>
      <c r="U15" s="97">
        <f t="shared" si="20"/>
        <v>490.61515183388593</v>
      </c>
      <c r="V15" s="139">
        <f t="shared" si="20"/>
        <v>492.73792242142792</v>
      </c>
      <c r="W15" s="97">
        <f t="shared" si="20"/>
        <v>604.86987771301028</v>
      </c>
      <c r="X15" s="97">
        <f t="shared" si="20"/>
        <v>497.01105744857909</v>
      </c>
      <c r="Y15" s="97">
        <f t="shared" si="20"/>
        <v>499.16150154002503</v>
      </c>
      <c r="Z15" s="97">
        <f t="shared" si="20"/>
        <v>501.32125007192781</v>
      </c>
      <c r="AA15" s="97">
        <f t="shared" si="20"/>
        <v>503.49034330230319</v>
      </c>
      <c r="AB15" s="97">
        <f t="shared" si="20"/>
        <v>505.66882166335364</v>
      </c>
      <c r="AC15" s="97">
        <f t="shared" si="20"/>
        <v>507.8567257622214</v>
      </c>
      <c r="AD15" s="97">
        <f t="shared" si="20"/>
        <v>510.05409638174615</v>
      </c>
      <c r="AE15" s="97">
        <f t="shared" si="20"/>
        <v>512.26097448122459</v>
      </c>
      <c r="AF15" s="97">
        <f t="shared" si="20"/>
        <v>514.47740119717434</v>
      </c>
      <c r="AG15" s="97">
        <f t="shared" si="20"/>
        <v>516.7034178441005</v>
      </c>
      <c r="AH15" s="139">
        <f t="shared" si="20"/>
        <v>518.93906591526581</v>
      </c>
      <c r="AI15" s="97">
        <f t="shared" si="20"/>
        <v>521.18438708346412</v>
      </c>
      <c r="AJ15" s="97">
        <f t="shared" si="20"/>
        <v>523.43942320179724</v>
      </c>
      <c r="AK15" s="97">
        <f t="shared" si="20"/>
        <v>525.70421630445492</v>
      </c>
      <c r="AL15" s="97">
        <f t="shared" si="20"/>
        <v>527.97880860749842</v>
      </c>
      <c r="AM15" s="97">
        <f t="shared" si="20"/>
        <v>530.26324250964797</v>
      </c>
      <c r="AN15" s="97">
        <f t="shared" si="20"/>
        <v>532.55756059307168</v>
      </c>
      <c r="AO15" s="97">
        <f t="shared" si="20"/>
        <v>534.86180562418076</v>
      </c>
      <c r="AP15" s="97">
        <f t="shared" si="20"/>
        <v>537.17602055442626</v>
      </c>
      <c r="AQ15" s="97">
        <f t="shared" si="20"/>
        <v>539.50024852109925</v>
      </c>
      <c r="AR15" s="97">
        <f t="shared" si="20"/>
        <v>541.83453284813515</v>
      </c>
      <c r="AS15" s="97">
        <f t="shared" si="20"/>
        <v>544.17891704692158</v>
      </c>
      <c r="AT15" s="139">
        <f t="shared" si="20"/>
        <v>546.53344481710928</v>
      </c>
      <c r="AU15" s="97">
        <f t="shared" si="20"/>
        <v>548.89816004742602</v>
      </c>
      <c r="AV15" s="97">
        <f t="shared" si="20"/>
        <v>551.2731068164959</v>
      </c>
      <c r="AW15" s="97">
        <f t="shared" si="20"/>
        <v>553.6583293936601</v>
      </c>
      <c r="AX15" s="97">
        <f t="shared" si="20"/>
        <v>556.0538722398021</v>
      </c>
      <c r="AY15" s="97">
        <f t="shared" si="20"/>
        <v>558.45978000817684</v>
      </c>
      <c r="AZ15" s="97">
        <f t="shared" si="20"/>
        <v>560.87609754524294</v>
      </c>
      <c r="BA15" s="97">
        <f t="shared" si="20"/>
        <v>563.3028698914984</v>
      </c>
      <c r="BB15" s="97">
        <f t="shared" si="20"/>
        <v>565.74014228232045</v>
      </c>
      <c r="BC15" s="97">
        <f t="shared" si="20"/>
        <v>568.18796014880854</v>
      </c>
      <c r="BD15" s="97">
        <f t="shared" si="20"/>
        <v>570.64636911863136</v>
      </c>
      <c r="BE15" s="97">
        <f t="shared" si="20"/>
        <v>573.11541501687725</v>
      </c>
      <c r="BF15" s="139">
        <f t="shared" si="20"/>
        <v>575.59514386690807</v>
      </c>
      <c r="BG15" s="97">
        <f t="shared" si="20"/>
        <v>578.08560189121783</v>
      </c>
      <c r="BH15" s="97">
        <f t="shared" si="20"/>
        <v>580.58683551229376</v>
      </c>
      <c r="BI15" s="97">
        <f t="shared" si="20"/>
        <v>583.09889135348158</v>
      </c>
      <c r="BJ15" s="97">
        <f t="shared" si="20"/>
        <v>585.62181623985498</v>
      </c>
      <c r="BK15" s="97">
        <f t="shared" si="20"/>
        <v>588.15565719908784</v>
      </c>
      <c r="BL15" s="97">
        <f t="shared" si="20"/>
        <v>590.70046146233119</v>
      </c>
      <c r="BM15" s="97">
        <f t="shared" si="20"/>
        <v>593.25627646509383</v>
      </c>
      <c r="BN15" s="97">
        <f t="shared" si="20"/>
        <v>595.82314984812638</v>
      </c>
      <c r="BO15" s="97">
        <f t="shared" si="20"/>
        <v>598.40112945830879</v>
      </c>
      <c r="BP15" s="97">
        <f t="shared" si="20"/>
        <v>600.99026334954272</v>
      </c>
      <c r="BQ15" s="97">
        <f t="shared" si="20"/>
        <v>603.59059978364758</v>
      </c>
      <c r="BR15" s="139">
        <f t="shared" si="20"/>
        <v>606.20218723125947</v>
      </c>
    </row>
    <row r="16" spans="1:70" ht="13.2" hidden="1" x14ac:dyDescent="0.3">
      <c r="A16" s="140"/>
      <c r="C16" s="14" t="s">
        <v>104</v>
      </c>
      <c r="D16" s="14"/>
      <c r="E16" s="90">
        <f>SUM(K16:V16)</f>
        <v>4298.5360241267026</v>
      </c>
      <c r="F16" s="90">
        <f t="shared" ref="F16:F19" si="21">SUM(W16:AH16)</f>
        <v>4527.1089714413774</v>
      </c>
      <c r="G16" s="90">
        <f t="shared" si="17"/>
        <v>4767.8361945259576</v>
      </c>
      <c r="H16" s="90">
        <f t="shared" si="18"/>
        <v>5021.3639921713875</v>
      </c>
      <c r="I16" s="90">
        <f t="shared" si="19"/>
        <v>5288.3730298503406</v>
      </c>
      <c r="J16" s="113"/>
      <c r="K16" s="90">
        <f>Income!K7</f>
        <v>349.76666666666665</v>
      </c>
      <c r="L16" s="91">
        <f>Income!L7</f>
        <v>351.28002064631301</v>
      </c>
      <c r="M16" s="91">
        <f>Income!M7</f>
        <v>352.79992253485403</v>
      </c>
      <c r="N16" s="91">
        <f>Income!N7</f>
        <v>354.3264006634742</v>
      </c>
      <c r="O16" s="91">
        <f>Income!O7</f>
        <v>355.85948348594013</v>
      </c>
      <c r="P16" s="91">
        <f>Income!P7</f>
        <v>357.39919957913094</v>
      </c>
      <c r="Q16" s="90">
        <f>Income!Q7</f>
        <v>358.94557764357052</v>
      </c>
      <c r="R16" s="90">
        <f>Income!R7</f>
        <v>360.49864650396324</v>
      </c>
      <c r="S16" s="90">
        <f>Income!S7</f>
        <v>362.05843510973068</v>
      </c>
      <c r="T16" s="90">
        <f>Income!T7</f>
        <v>363.62497253555125</v>
      </c>
      <c r="U16" s="90">
        <f>Income!U7</f>
        <v>365.19828798190264</v>
      </c>
      <c r="V16" s="90">
        <f>Income!V7</f>
        <v>366.77841077560532</v>
      </c>
      <c r="W16" s="90">
        <f>Income!W7</f>
        <v>368.36537037037039</v>
      </c>
      <c r="X16" s="91">
        <f>Income!X7</f>
        <v>369.95919634734713</v>
      </c>
      <c r="Y16" s="91">
        <f>Income!Y7</f>
        <v>371.55991841567567</v>
      </c>
      <c r="Z16" s="91">
        <f>Income!Z7</f>
        <v>373.16756641303988</v>
      </c>
      <c r="AA16" s="91">
        <f>Income!AA7</f>
        <v>374.78217030622432</v>
      </c>
      <c r="AB16" s="91">
        <f>Income!AB7</f>
        <v>376.40376019167201</v>
      </c>
      <c r="AC16" s="90">
        <f>Income!AC7</f>
        <v>378.03236629604612</v>
      </c>
      <c r="AD16" s="90">
        <f>Income!AD7</f>
        <v>379.66801897679312</v>
      </c>
      <c r="AE16" s="90">
        <f>Income!AE7</f>
        <v>381.31074872270835</v>
      </c>
      <c r="AF16" s="90">
        <f>Income!AF7</f>
        <v>382.96058615450522</v>
      </c>
      <c r="AG16" s="90">
        <f>Income!AG7</f>
        <v>384.6175620253847</v>
      </c>
      <c r="AH16" s="90">
        <f>Income!AH7</f>
        <v>386.28170722160985</v>
      </c>
      <c r="AI16" s="90">
        <f>Income!AI7</f>
        <v>387.95305276308051</v>
      </c>
      <c r="AJ16" s="91">
        <f>Income!AJ7</f>
        <v>389.63162980391246</v>
      </c>
      <c r="AK16" s="91">
        <f>Income!AK7</f>
        <v>391.31746963301708</v>
      </c>
      <c r="AL16" s="91">
        <f>Income!AL7</f>
        <v>393.01060367468568</v>
      </c>
      <c r="AM16" s="91">
        <f>Income!AM7</f>
        <v>394.71106348917436</v>
      </c>
      <c r="AN16" s="91">
        <f>Income!AN7</f>
        <v>396.4188807732927</v>
      </c>
      <c r="AO16" s="90">
        <f>Income!AO7</f>
        <v>398.13408736099461</v>
      </c>
      <c r="AP16" s="90">
        <f>Income!AP7</f>
        <v>399.85671522397178</v>
      </c>
      <c r="AQ16" s="90">
        <f>Income!AQ7</f>
        <v>401.5867964722492</v>
      </c>
      <c r="AR16" s="90">
        <f>Income!AR7</f>
        <v>403.3243633547844</v>
      </c>
      <c r="AS16" s="90">
        <f>Income!AS7</f>
        <v>405.06944826006782</v>
      </c>
      <c r="AT16" s="90">
        <f>Income!AT7</f>
        <v>406.82208371672715</v>
      </c>
      <c r="AU16" s="90">
        <f>Income!AU7</f>
        <v>408.58230239413319</v>
      </c>
      <c r="AV16" s="91">
        <f>Income!AV7</f>
        <v>410.35013710300939</v>
      </c>
      <c r="AW16" s="91">
        <f>Income!AW7</f>
        <v>412.12562079604271</v>
      </c>
      <c r="AX16" s="91">
        <f>Income!AX7</f>
        <v>413.90878656849839</v>
      </c>
      <c r="AY16" s="91">
        <f>Income!AY7</f>
        <v>415.6996676588368</v>
      </c>
      <c r="AZ16" s="91">
        <f>Income!AZ7</f>
        <v>417.49829744933282</v>
      </c>
      <c r="BA16" s="90">
        <f>Income!BA7</f>
        <v>419.30470946669834</v>
      </c>
      <c r="BB16" s="90">
        <f>Income!BB7</f>
        <v>421.11893738270686</v>
      </c>
      <c r="BC16" s="90">
        <f>Income!BC7</f>
        <v>422.94101501482129</v>
      </c>
      <c r="BD16" s="90">
        <f>Income!BD7</f>
        <v>424.77097632682461</v>
      </c>
      <c r="BE16" s="90">
        <f>Income!BE7</f>
        <v>426.60885542945249</v>
      </c>
      <c r="BF16" s="90">
        <f>Income!BF7</f>
        <v>428.45468658102936</v>
      </c>
      <c r="BG16" s="90">
        <f>Income!BG7</f>
        <v>430.30850418810695</v>
      </c>
      <c r="BH16" s="91">
        <f>Income!BH7</f>
        <v>432.17034280610591</v>
      </c>
      <c r="BI16" s="91">
        <f>Income!BI7</f>
        <v>434.04023713995923</v>
      </c>
      <c r="BJ16" s="91">
        <f>Income!BJ7</f>
        <v>435.91822204475983</v>
      </c>
      <c r="BK16" s="91">
        <f>Income!BK7</f>
        <v>437.80433252640989</v>
      </c>
      <c r="BL16" s="91">
        <f>Income!BL7</f>
        <v>439.69860374227358</v>
      </c>
      <c r="BM16" s="90">
        <f>Income!BM7</f>
        <v>441.60107100183234</v>
      </c>
      <c r="BN16" s="90">
        <f>Income!BN7</f>
        <v>443.51176976734286</v>
      </c>
      <c r="BO16" s="90">
        <f>Income!BO7</f>
        <v>445.43073565449828</v>
      </c>
      <c r="BP16" s="90">
        <f>Income!BP7</f>
        <v>447.35800443309228</v>
      </c>
      <c r="BQ16" s="90">
        <f>Income!BQ7</f>
        <v>449.29361202768519</v>
      </c>
      <c r="BR16" s="90">
        <f>Income!BR7</f>
        <v>451.23759451827459</v>
      </c>
    </row>
    <row r="17" spans="1:70" ht="13.2" hidden="1" x14ac:dyDescent="0.3">
      <c r="A17" s="13"/>
      <c r="B17" s="5"/>
      <c r="C17" s="61" t="s">
        <v>189</v>
      </c>
      <c r="D17" s="14"/>
      <c r="E17" s="89">
        <f t="shared" si="16"/>
        <v>2149.2680120633513</v>
      </c>
      <c r="F17" s="89">
        <f t="shared" si="21"/>
        <v>2263.5544857206887</v>
      </c>
      <c r="G17" s="89">
        <f t="shared" si="17"/>
        <v>2383.9180972629788</v>
      </c>
      <c r="H17" s="89">
        <f t="shared" si="18"/>
        <v>2510.6819960856938</v>
      </c>
      <c r="I17" s="89">
        <f t="shared" si="19"/>
        <v>2644.1865149251703</v>
      </c>
      <c r="J17" s="88"/>
      <c r="K17" s="90">
        <f>TermsPayCash*K16</f>
        <v>174.88333333333333</v>
      </c>
      <c r="L17" s="91">
        <f>TermsPayCash*L16</f>
        <v>175.6400103231565</v>
      </c>
      <c r="M17" s="91">
        <f t="shared" ref="M17:AP17" si="22">TermsPayCash*M16</f>
        <v>176.39996126742702</v>
      </c>
      <c r="N17" s="91">
        <f t="shared" si="22"/>
        <v>177.1632003317371</v>
      </c>
      <c r="O17" s="91">
        <f t="shared" si="22"/>
        <v>177.92974174297007</v>
      </c>
      <c r="P17" s="91">
        <f t="shared" si="22"/>
        <v>178.69959978956547</v>
      </c>
      <c r="Q17" s="91">
        <f t="shared" si="22"/>
        <v>179.47278882178526</v>
      </c>
      <c r="R17" s="91">
        <f t="shared" si="22"/>
        <v>180.24932325198162</v>
      </c>
      <c r="S17" s="91">
        <f t="shared" si="22"/>
        <v>181.02921755486534</v>
      </c>
      <c r="T17" s="91">
        <f t="shared" si="22"/>
        <v>181.81248626777563</v>
      </c>
      <c r="U17" s="91">
        <f t="shared" si="22"/>
        <v>182.59914399095132</v>
      </c>
      <c r="V17" s="89">
        <f t="shared" si="22"/>
        <v>183.38920538780266</v>
      </c>
      <c r="W17" s="90">
        <f t="shared" si="22"/>
        <v>184.18268518518519</v>
      </c>
      <c r="X17" s="91">
        <f t="shared" si="22"/>
        <v>184.97959817367357</v>
      </c>
      <c r="Y17" s="91">
        <f t="shared" si="22"/>
        <v>185.77995920783783</v>
      </c>
      <c r="Z17" s="91">
        <f t="shared" si="22"/>
        <v>186.58378320651994</v>
      </c>
      <c r="AA17" s="91">
        <f t="shared" si="22"/>
        <v>187.39108515311216</v>
      </c>
      <c r="AB17" s="91">
        <f t="shared" si="22"/>
        <v>188.201880095836</v>
      </c>
      <c r="AC17" s="91">
        <f t="shared" si="22"/>
        <v>189.01618314802306</v>
      </c>
      <c r="AD17" s="91">
        <f t="shared" si="22"/>
        <v>189.83400948839656</v>
      </c>
      <c r="AE17" s="91">
        <f t="shared" si="22"/>
        <v>190.65537436135418</v>
      </c>
      <c r="AF17" s="91">
        <f t="shared" si="22"/>
        <v>191.48029307725261</v>
      </c>
      <c r="AG17" s="91">
        <f t="shared" si="22"/>
        <v>192.30878101269235</v>
      </c>
      <c r="AH17" s="89">
        <f t="shared" si="22"/>
        <v>193.14085361080492</v>
      </c>
      <c r="AI17" s="90">
        <f t="shared" si="22"/>
        <v>193.97652638154025</v>
      </c>
      <c r="AJ17" s="91">
        <f t="shared" si="22"/>
        <v>194.81581490195623</v>
      </c>
      <c r="AK17" s="91">
        <f t="shared" si="22"/>
        <v>195.65873481650854</v>
      </c>
      <c r="AL17" s="91">
        <f t="shared" si="22"/>
        <v>196.50530183734284</v>
      </c>
      <c r="AM17" s="91">
        <f t="shared" si="22"/>
        <v>197.35553174458718</v>
      </c>
      <c r="AN17" s="91">
        <f t="shared" si="22"/>
        <v>198.20944038664635</v>
      </c>
      <c r="AO17" s="91">
        <f t="shared" si="22"/>
        <v>199.06704368049731</v>
      </c>
      <c r="AP17" s="91">
        <f t="shared" si="22"/>
        <v>199.92835761198589</v>
      </c>
      <c r="AQ17" s="91">
        <f t="shared" ref="AQ17:BR17" si="23">TermsPayCash*AQ16</f>
        <v>200.7933982361246</v>
      </c>
      <c r="AR17" s="91">
        <f t="shared" si="23"/>
        <v>201.6621816773922</v>
      </c>
      <c r="AS17" s="91">
        <f t="shared" si="23"/>
        <v>202.53472413003391</v>
      </c>
      <c r="AT17" s="89">
        <f t="shared" si="23"/>
        <v>203.41104185836357</v>
      </c>
      <c r="AU17" s="90">
        <f t="shared" si="23"/>
        <v>204.2911511970666</v>
      </c>
      <c r="AV17" s="91">
        <f t="shared" si="23"/>
        <v>205.17506855150469</v>
      </c>
      <c r="AW17" s="91">
        <f t="shared" si="23"/>
        <v>206.06281039802136</v>
      </c>
      <c r="AX17" s="91">
        <f t="shared" si="23"/>
        <v>206.95439328424919</v>
      </c>
      <c r="AY17" s="91">
        <f t="shared" si="23"/>
        <v>207.8498338294184</v>
      </c>
      <c r="AZ17" s="91">
        <f t="shared" si="23"/>
        <v>208.74914872466641</v>
      </c>
      <c r="BA17" s="91">
        <f t="shared" si="23"/>
        <v>209.65235473334917</v>
      </c>
      <c r="BB17" s="91">
        <f t="shared" si="23"/>
        <v>210.55946869135343</v>
      </c>
      <c r="BC17" s="91">
        <f t="shared" si="23"/>
        <v>211.47050750741064</v>
      </c>
      <c r="BD17" s="91">
        <f t="shared" si="23"/>
        <v>212.3854881634123</v>
      </c>
      <c r="BE17" s="91">
        <f t="shared" si="23"/>
        <v>213.30442771472624</v>
      </c>
      <c r="BF17" s="89">
        <f t="shared" si="23"/>
        <v>214.22734329051468</v>
      </c>
      <c r="BG17" s="90">
        <f t="shared" si="23"/>
        <v>215.15425209405348</v>
      </c>
      <c r="BH17" s="91">
        <f t="shared" si="23"/>
        <v>216.08517140305295</v>
      </c>
      <c r="BI17" s="91">
        <f t="shared" si="23"/>
        <v>217.02011856997962</v>
      </c>
      <c r="BJ17" s="91">
        <f t="shared" si="23"/>
        <v>217.95911102237991</v>
      </c>
      <c r="BK17" s="91">
        <f t="shared" si="23"/>
        <v>218.90216626320495</v>
      </c>
      <c r="BL17" s="91">
        <f t="shared" si="23"/>
        <v>219.84930187113679</v>
      </c>
      <c r="BM17" s="91">
        <f t="shared" si="23"/>
        <v>220.80053550091617</v>
      </c>
      <c r="BN17" s="91">
        <f t="shared" si="23"/>
        <v>221.75588488367143</v>
      </c>
      <c r="BO17" s="91">
        <f t="shared" si="23"/>
        <v>222.71536782724914</v>
      </c>
      <c r="BP17" s="91">
        <f t="shared" si="23"/>
        <v>223.67900221654614</v>
      </c>
      <c r="BQ17" s="91">
        <f t="shared" si="23"/>
        <v>224.64680601384259</v>
      </c>
      <c r="BR17" s="89">
        <f t="shared" si="23"/>
        <v>225.6187972591373</v>
      </c>
    </row>
    <row r="18" spans="1:70" ht="13.2" hidden="1" x14ac:dyDescent="0.3">
      <c r="A18" s="13"/>
      <c r="B18" s="5"/>
      <c r="C18" s="61" t="s">
        <v>190</v>
      </c>
      <c r="D18" s="14"/>
      <c r="E18" s="89">
        <f t="shared" si="16"/>
        <v>1965.8788066755487</v>
      </c>
      <c r="F18" s="89">
        <f t="shared" si="21"/>
        <v>2253.8028374976861</v>
      </c>
      <c r="G18" s="89">
        <f t="shared" si="17"/>
        <v>2373.6479090154198</v>
      </c>
      <c r="H18" s="89">
        <f t="shared" si="18"/>
        <v>2499.8656946535421</v>
      </c>
      <c r="I18" s="89">
        <f t="shared" si="19"/>
        <v>2632.7950609565478</v>
      </c>
      <c r="J18" s="88"/>
      <c r="K18" s="90"/>
      <c r="L18" s="91">
        <f>TermsPayCredit*K16</f>
        <v>174.88333333333333</v>
      </c>
      <c r="M18" s="91">
        <f>TermsPayCredit*L16</f>
        <v>175.6400103231565</v>
      </c>
      <c r="N18" s="91">
        <f t="shared" ref="N18:AQ18" si="24">TermsPayCredit*M16</f>
        <v>176.39996126742702</v>
      </c>
      <c r="O18" s="91">
        <f t="shared" si="24"/>
        <v>177.1632003317371</v>
      </c>
      <c r="P18" s="91">
        <f t="shared" si="24"/>
        <v>177.92974174297007</v>
      </c>
      <c r="Q18" s="91">
        <f t="shared" si="24"/>
        <v>178.69959978956547</v>
      </c>
      <c r="R18" s="91">
        <f t="shared" si="24"/>
        <v>179.47278882178526</v>
      </c>
      <c r="S18" s="91">
        <f t="shared" si="24"/>
        <v>180.24932325198162</v>
      </c>
      <c r="T18" s="91">
        <f t="shared" si="24"/>
        <v>181.02921755486534</v>
      </c>
      <c r="U18" s="91">
        <f t="shared" si="24"/>
        <v>181.81248626777563</v>
      </c>
      <c r="V18" s="89">
        <f t="shared" si="24"/>
        <v>182.59914399095132</v>
      </c>
      <c r="W18" s="90">
        <f t="shared" si="24"/>
        <v>183.38920538780266</v>
      </c>
      <c r="X18" s="91">
        <f t="shared" si="24"/>
        <v>184.18268518518519</v>
      </c>
      <c r="Y18" s="91">
        <f t="shared" si="24"/>
        <v>184.97959817367357</v>
      </c>
      <c r="Z18" s="91">
        <f t="shared" si="24"/>
        <v>185.77995920783783</v>
      </c>
      <c r="AA18" s="91">
        <f t="shared" si="24"/>
        <v>186.58378320651994</v>
      </c>
      <c r="AB18" s="91">
        <f t="shared" si="24"/>
        <v>187.39108515311216</v>
      </c>
      <c r="AC18" s="91">
        <f t="shared" si="24"/>
        <v>188.201880095836</v>
      </c>
      <c r="AD18" s="91">
        <f t="shared" si="24"/>
        <v>189.01618314802306</v>
      </c>
      <c r="AE18" s="91">
        <f t="shared" si="24"/>
        <v>189.83400948839656</v>
      </c>
      <c r="AF18" s="91">
        <f t="shared" si="24"/>
        <v>190.65537436135418</v>
      </c>
      <c r="AG18" s="91">
        <f t="shared" si="24"/>
        <v>191.48029307725261</v>
      </c>
      <c r="AH18" s="89">
        <f t="shared" si="24"/>
        <v>192.30878101269235</v>
      </c>
      <c r="AI18" s="90">
        <f t="shared" si="24"/>
        <v>193.14085361080492</v>
      </c>
      <c r="AJ18" s="91">
        <f t="shared" si="24"/>
        <v>193.97652638154025</v>
      </c>
      <c r="AK18" s="91">
        <f t="shared" si="24"/>
        <v>194.81581490195623</v>
      </c>
      <c r="AL18" s="91">
        <f t="shared" si="24"/>
        <v>195.65873481650854</v>
      </c>
      <c r="AM18" s="91">
        <f t="shared" si="24"/>
        <v>196.50530183734284</v>
      </c>
      <c r="AN18" s="91">
        <f t="shared" si="24"/>
        <v>197.35553174458718</v>
      </c>
      <c r="AO18" s="91">
        <f t="shared" si="24"/>
        <v>198.20944038664635</v>
      </c>
      <c r="AP18" s="91">
        <f t="shared" si="24"/>
        <v>199.06704368049731</v>
      </c>
      <c r="AQ18" s="91">
        <f t="shared" si="24"/>
        <v>199.92835761198589</v>
      </c>
      <c r="AR18" s="91">
        <f t="shared" ref="AR18:BR18" si="25">TermsPayCredit*AQ16</f>
        <v>200.7933982361246</v>
      </c>
      <c r="AS18" s="91">
        <f t="shared" si="25"/>
        <v>201.6621816773922</v>
      </c>
      <c r="AT18" s="89">
        <f t="shared" si="25"/>
        <v>202.53472413003391</v>
      </c>
      <c r="AU18" s="90">
        <f t="shared" si="25"/>
        <v>203.41104185836357</v>
      </c>
      <c r="AV18" s="91">
        <f t="shared" si="25"/>
        <v>204.2911511970666</v>
      </c>
      <c r="AW18" s="91">
        <f t="shared" si="25"/>
        <v>205.17506855150469</v>
      </c>
      <c r="AX18" s="91">
        <f t="shared" si="25"/>
        <v>206.06281039802136</v>
      </c>
      <c r="AY18" s="91">
        <f t="shared" si="25"/>
        <v>206.95439328424919</v>
      </c>
      <c r="AZ18" s="91">
        <f t="shared" si="25"/>
        <v>207.8498338294184</v>
      </c>
      <c r="BA18" s="91">
        <f t="shared" si="25"/>
        <v>208.74914872466641</v>
      </c>
      <c r="BB18" s="91">
        <f t="shared" si="25"/>
        <v>209.65235473334917</v>
      </c>
      <c r="BC18" s="91">
        <f t="shared" si="25"/>
        <v>210.55946869135343</v>
      </c>
      <c r="BD18" s="91">
        <f t="shared" si="25"/>
        <v>211.47050750741064</v>
      </c>
      <c r="BE18" s="91">
        <f t="shared" si="25"/>
        <v>212.3854881634123</v>
      </c>
      <c r="BF18" s="89">
        <f t="shared" si="25"/>
        <v>213.30442771472624</v>
      </c>
      <c r="BG18" s="90">
        <f t="shared" si="25"/>
        <v>214.22734329051468</v>
      </c>
      <c r="BH18" s="91">
        <f t="shared" si="25"/>
        <v>215.15425209405348</v>
      </c>
      <c r="BI18" s="91">
        <f t="shared" si="25"/>
        <v>216.08517140305295</v>
      </c>
      <c r="BJ18" s="91">
        <f t="shared" si="25"/>
        <v>217.02011856997962</v>
      </c>
      <c r="BK18" s="91">
        <f t="shared" si="25"/>
        <v>217.95911102237991</v>
      </c>
      <c r="BL18" s="91">
        <f t="shared" si="25"/>
        <v>218.90216626320495</v>
      </c>
      <c r="BM18" s="91">
        <f t="shared" si="25"/>
        <v>219.84930187113679</v>
      </c>
      <c r="BN18" s="91">
        <f t="shared" si="25"/>
        <v>220.80053550091617</v>
      </c>
      <c r="BO18" s="91">
        <f t="shared" si="25"/>
        <v>221.75588488367143</v>
      </c>
      <c r="BP18" s="91">
        <f t="shared" si="25"/>
        <v>222.71536782724914</v>
      </c>
      <c r="BQ18" s="91">
        <f t="shared" si="25"/>
        <v>223.67900221654614</v>
      </c>
      <c r="BR18" s="89">
        <f t="shared" si="25"/>
        <v>224.64680601384259</v>
      </c>
    </row>
    <row r="19" spans="1:70" ht="13.2" x14ac:dyDescent="0.3">
      <c r="A19" s="13"/>
      <c r="B19" s="5"/>
      <c r="C19" s="61" t="s">
        <v>192</v>
      </c>
      <c r="D19" s="14"/>
      <c r="E19" s="89">
        <f t="shared" si="16"/>
        <v>4115.1468187389</v>
      </c>
      <c r="F19" s="89">
        <f t="shared" si="21"/>
        <v>4517.3573232183744</v>
      </c>
      <c r="G19" s="89">
        <f t="shared" si="17"/>
        <v>4757.5660062783991</v>
      </c>
      <c r="H19" s="89">
        <f t="shared" si="18"/>
        <v>5010.5476907392349</v>
      </c>
      <c r="I19" s="89">
        <f t="shared" si="19"/>
        <v>5276.9815758817176</v>
      </c>
      <c r="J19" s="88"/>
      <c r="K19" s="90">
        <f>SUM(K17:K18)</f>
        <v>174.88333333333333</v>
      </c>
      <c r="L19" s="90">
        <f t="shared" ref="L19:BR19" si="26">SUM(L17:L18)</f>
        <v>350.52334365648983</v>
      </c>
      <c r="M19" s="91">
        <f t="shared" si="26"/>
        <v>352.03997159058349</v>
      </c>
      <c r="N19" s="91">
        <f t="shared" si="26"/>
        <v>353.56316159916412</v>
      </c>
      <c r="O19" s="91">
        <f t="shared" si="26"/>
        <v>355.09294207470714</v>
      </c>
      <c r="P19" s="91">
        <f t="shared" si="26"/>
        <v>356.62934153253553</v>
      </c>
      <c r="Q19" s="91">
        <f t="shared" si="26"/>
        <v>358.1723886113507</v>
      </c>
      <c r="R19" s="91">
        <f t="shared" si="26"/>
        <v>359.72211207376688</v>
      </c>
      <c r="S19" s="91">
        <f t="shared" si="26"/>
        <v>361.27854080684699</v>
      </c>
      <c r="T19" s="91">
        <f t="shared" si="26"/>
        <v>362.84170382264097</v>
      </c>
      <c r="U19" s="91">
        <f t="shared" si="26"/>
        <v>364.41163025872697</v>
      </c>
      <c r="V19" s="89">
        <f t="shared" si="26"/>
        <v>365.98834937875398</v>
      </c>
      <c r="W19" s="90">
        <f t="shared" si="26"/>
        <v>367.57189057298785</v>
      </c>
      <c r="X19" s="91">
        <f t="shared" si="26"/>
        <v>369.16228335885876</v>
      </c>
      <c r="Y19" s="91">
        <f t="shared" si="26"/>
        <v>370.7595573815114</v>
      </c>
      <c r="Z19" s="91">
        <f t="shared" si="26"/>
        <v>372.36374241435777</v>
      </c>
      <c r="AA19" s="91">
        <f t="shared" si="26"/>
        <v>373.97486835963207</v>
      </c>
      <c r="AB19" s="91">
        <f t="shared" si="26"/>
        <v>375.59296524894819</v>
      </c>
      <c r="AC19" s="91">
        <f t="shared" si="26"/>
        <v>377.21806324385909</v>
      </c>
      <c r="AD19" s="91">
        <f t="shared" si="26"/>
        <v>378.85019263641959</v>
      </c>
      <c r="AE19" s="91">
        <f t="shared" si="26"/>
        <v>380.48938384975077</v>
      </c>
      <c r="AF19" s="91">
        <f t="shared" si="26"/>
        <v>382.13566743860679</v>
      </c>
      <c r="AG19" s="91">
        <f t="shared" si="26"/>
        <v>383.78907408994496</v>
      </c>
      <c r="AH19" s="89">
        <f t="shared" si="26"/>
        <v>385.44963462349727</v>
      </c>
      <c r="AI19" s="90">
        <f t="shared" si="26"/>
        <v>387.11737999234515</v>
      </c>
      <c r="AJ19" s="91">
        <f t="shared" si="26"/>
        <v>388.79234128349651</v>
      </c>
      <c r="AK19" s="91">
        <f t="shared" si="26"/>
        <v>390.4745497184648</v>
      </c>
      <c r="AL19" s="91">
        <f t="shared" si="26"/>
        <v>392.16403665385138</v>
      </c>
      <c r="AM19" s="91">
        <f t="shared" si="26"/>
        <v>393.86083358193002</v>
      </c>
      <c r="AN19" s="91">
        <f t="shared" si="26"/>
        <v>395.5649721312335</v>
      </c>
      <c r="AO19" s="91">
        <f t="shared" si="26"/>
        <v>397.27648406714366</v>
      </c>
      <c r="AP19" s="91">
        <f t="shared" si="26"/>
        <v>398.99540129248317</v>
      </c>
      <c r="AQ19" s="91">
        <f t="shared" si="26"/>
        <v>400.72175584811049</v>
      </c>
      <c r="AR19" s="91">
        <f t="shared" si="26"/>
        <v>402.45557991351677</v>
      </c>
      <c r="AS19" s="91">
        <f t="shared" si="26"/>
        <v>404.19690580742611</v>
      </c>
      <c r="AT19" s="89">
        <f t="shared" si="26"/>
        <v>405.94576598839751</v>
      </c>
      <c r="AU19" s="90">
        <f t="shared" si="26"/>
        <v>407.70219305543014</v>
      </c>
      <c r="AV19" s="91">
        <f t="shared" si="26"/>
        <v>409.46621974857129</v>
      </c>
      <c r="AW19" s="91">
        <f t="shared" si="26"/>
        <v>411.23787894952602</v>
      </c>
      <c r="AX19" s="91">
        <f t="shared" si="26"/>
        <v>413.01720368227052</v>
      </c>
      <c r="AY19" s="91">
        <f t="shared" si="26"/>
        <v>414.80422711366759</v>
      </c>
      <c r="AZ19" s="91">
        <f t="shared" si="26"/>
        <v>416.59898255408484</v>
      </c>
      <c r="BA19" s="91">
        <f t="shared" si="26"/>
        <v>418.40150345801555</v>
      </c>
      <c r="BB19" s="91">
        <f t="shared" si="26"/>
        <v>420.21182342470263</v>
      </c>
      <c r="BC19" s="91">
        <f t="shared" si="26"/>
        <v>422.02997619876407</v>
      </c>
      <c r="BD19" s="91">
        <f t="shared" si="26"/>
        <v>423.85599567082295</v>
      </c>
      <c r="BE19" s="91">
        <f t="shared" si="26"/>
        <v>425.68991587813855</v>
      </c>
      <c r="BF19" s="89">
        <f t="shared" si="26"/>
        <v>427.5317710052409</v>
      </c>
      <c r="BG19" s="90">
        <f t="shared" si="26"/>
        <v>429.38159538456819</v>
      </c>
      <c r="BH19" s="91">
        <f t="shared" si="26"/>
        <v>431.23942349710643</v>
      </c>
      <c r="BI19" s="91">
        <f t="shared" si="26"/>
        <v>433.10528997303254</v>
      </c>
      <c r="BJ19" s="91">
        <f t="shared" si="26"/>
        <v>434.9792295923595</v>
      </c>
      <c r="BK19" s="91">
        <f t="shared" si="26"/>
        <v>436.86127728558483</v>
      </c>
      <c r="BL19" s="91">
        <f t="shared" si="26"/>
        <v>438.75146813434174</v>
      </c>
      <c r="BM19" s="91">
        <f t="shared" si="26"/>
        <v>440.64983737205296</v>
      </c>
      <c r="BN19" s="91">
        <f t="shared" si="26"/>
        <v>442.55642038458757</v>
      </c>
      <c r="BO19" s="91">
        <f t="shared" si="26"/>
        <v>444.47125271092057</v>
      </c>
      <c r="BP19" s="91">
        <f t="shared" si="26"/>
        <v>446.39437004379528</v>
      </c>
      <c r="BQ19" s="91">
        <f t="shared" si="26"/>
        <v>448.3258082303887</v>
      </c>
      <c r="BR19" s="89">
        <f t="shared" si="26"/>
        <v>450.26560327297989</v>
      </c>
    </row>
    <row r="20" spans="1:70" s="183" customFormat="1" ht="13.2" x14ac:dyDescent="0.3">
      <c r="A20" s="181"/>
      <c r="B20" s="182"/>
      <c r="C20" s="179" t="s">
        <v>71</v>
      </c>
      <c r="E20" s="184">
        <f>V20</f>
        <v>183.38920538780286</v>
      </c>
      <c r="F20" s="184">
        <f>AH20</f>
        <v>193.14085361080498</v>
      </c>
      <c r="G20" s="184">
        <f>AT20</f>
        <v>203.41104185836377</v>
      </c>
      <c r="H20" s="184">
        <f>BF20</f>
        <v>214.2273432905148</v>
      </c>
      <c r="I20" s="184">
        <f>BR20</f>
        <v>225.61879725913741</v>
      </c>
      <c r="J20" s="185"/>
      <c r="K20" s="184">
        <f>K16-K19</f>
        <v>174.88333333333333</v>
      </c>
      <c r="L20" s="184">
        <f>K20+L16-L19</f>
        <v>175.6400103231565</v>
      </c>
      <c r="M20" s="186">
        <f t="shared" ref="M20:BR20" si="27">L20+M16-M19</f>
        <v>176.39996126742699</v>
      </c>
      <c r="N20" s="186">
        <f t="shared" si="27"/>
        <v>177.16320033173713</v>
      </c>
      <c r="O20" s="186">
        <f t="shared" si="27"/>
        <v>177.92974174297012</v>
      </c>
      <c r="P20" s="186">
        <f t="shared" si="27"/>
        <v>178.69959978956553</v>
      </c>
      <c r="Q20" s="186">
        <f t="shared" si="27"/>
        <v>179.47278882178534</v>
      </c>
      <c r="R20" s="186">
        <f t="shared" si="27"/>
        <v>180.24932325198176</v>
      </c>
      <c r="S20" s="186">
        <f t="shared" si="27"/>
        <v>181.02921755486545</v>
      </c>
      <c r="T20" s="186">
        <f t="shared" si="27"/>
        <v>181.81248626777574</v>
      </c>
      <c r="U20" s="186">
        <f t="shared" si="27"/>
        <v>182.59914399095146</v>
      </c>
      <c r="V20" s="184">
        <f t="shared" si="27"/>
        <v>183.38920538780286</v>
      </c>
      <c r="W20" s="184">
        <f t="shared" si="27"/>
        <v>184.18268518518539</v>
      </c>
      <c r="X20" s="186">
        <f t="shared" si="27"/>
        <v>184.97959817367382</v>
      </c>
      <c r="Y20" s="186">
        <f t="shared" si="27"/>
        <v>185.77995920783803</v>
      </c>
      <c r="Z20" s="186">
        <f t="shared" si="27"/>
        <v>186.5837832065202</v>
      </c>
      <c r="AA20" s="186">
        <f t="shared" si="27"/>
        <v>187.39108515311239</v>
      </c>
      <c r="AB20" s="186">
        <f t="shared" si="27"/>
        <v>188.20188009583615</v>
      </c>
      <c r="AC20" s="186">
        <f t="shared" si="27"/>
        <v>189.01618314802317</v>
      </c>
      <c r="AD20" s="186">
        <f t="shared" si="27"/>
        <v>189.83400948839665</v>
      </c>
      <c r="AE20" s="186">
        <f t="shared" si="27"/>
        <v>190.65537436135423</v>
      </c>
      <c r="AF20" s="186">
        <f t="shared" si="27"/>
        <v>191.48029307725267</v>
      </c>
      <c r="AG20" s="186">
        <f t="shared" si="27"/>
        <v>192.30878101269241</v>
      </c>
      <c r="AH20" s="184">
        <f t="shared" si="27"/>
        <v>193.14085361080498</v>
      </c>
      <c r="AI20" s="184">
        <f t="shared" si="27"/>
        <v>193.97652638154034</v>
      </c>
      <c r="AJ20" s="186">
        <f t="shared" si="27"/>
        <v>194.81581490195629</v>
      </c>
      <c r="AK20" s="186">
        <f t="shared" si="27"/>
        <v>195.65873481650863</v>
      </c>
      <c r="AL20" s="186">
        <f t="shared" si="27"/>
        <v>196.50530183734298</v>
      </c>
      <c r="AM20" s="186">
        <f t="shared" si="27"/>
        <v>197.35553174458732</v>
      </c>
      <c r="AN20" s="186">
        <f t="shared" si="27"/>
        <v>198.20944038664652</v>
      </c>
      <c r="AO20" s="186">
        <f t="shared" si="27"/>
        <v>199.06704368049748</v>
      </c>
      <c r="AP20" s="186">
        <f t="shared" si="27"/>
        <v>199.92835761198603</v>
      </c>
      <c r="AQ20" s="186">
        <f t="shared" si="27"/>
        <v>200.7933982361248</v>
      </c>
      <c r="AR20" s="186">
        <f t="shared" si="27"/>
        <v>201.66218167739237</v>
      </c>
      <c r="AS20" s="186">
        <f t="shared" si="27"/>
        <v>202.53472413003408</v>
      </c>
      <c r="AT20" s="184">
        <f t="shared" si="27"/>
        <v>203.41104185836377</v>
      </c>
      <c r="AU20" s="184">
        <f t="shared" si="27"/>
        <v>204.29115119706682</v>
      </c>
      <c r="AV20" s="186">
        <f t="shared" si="27"/>
        <v>205.17506855150492</v>
      </c>
      <c r="AW20" s="186">
        <f t="shared" si="27"/>
        <v>206.06281039802161</v>
      </c>
      <c r="AX20" s="186">
        <f t="shared" si="27"/>
        <v>206.95439328424948</v>
      </c>
      <c r="AY20" s="186">
        <f t="shared" si="27"/>
        <v>207.84983382941869</v>
      </c>
      <c r="AZ20" s="186">
        <f t="shared" si="27"/>
        <v>208.74914872466661</v>
      </c>
      <c r="BA20" s="186">
        <f t="shared" si="27"/>
        <v>209.6523547333494</v>
      </c>
      <c r="BB20" s="186">
        <f t="shared" si="27"/>
        <v>210.55946869135357</v>
      </c>
      <c r="BC20" s="186">
        <f t="shared" si="27"/>
        <v>211.47050750741084</v>
      </c>
      <c r="BD20" s="186">
        <f t="shared" si="27"/>
        <v>212.38548816341245</v>
      </c>
      <c r="BE20" s="186">
        <f t="shared" si="27"/>
        <v>213.30442771472633</v>
      </c>
      <c r="BF20" s="184">
        <f t="shared" si="27"/>
        <v>214.2273432905148</v>
      </c>
      <c r="BG20" s="184">
        <f t="shared" si="27"/>
        <v>215.1542520940535</v>
      </c>
      <c r="BH20" s="186">
        <f t="shared" si="27"/>
        <v>216.08517140305293</v>
      </c>
      <c r="BI20" s="186">
        <f t="shared" si="27"/>
        <v>217.02011856997956</v>
      </c>
      <c r="BJ20" s="186">
        <f t="shared" si="27"/>
        <v>217.95911102237994</v>
      </c>
      <c r="BK20" s="186">
        <f t="shared" si="27"/>
        <v>218.902166263205</v>
      </c>
      <c r="BL20" s="186">
        <f t="shared" si="27"/>
        <v>219.84930187113684</v>
      </c>
      <c r="BM20" s="186">
        <f t="shared" si="27"/>
        <v>220.80053550091623</v>
      </c>
      <c r="BN20" s="186">
        <f t="shared" si="27"/>
        <v>221.75588488367146</v>
      </c>
      <c r="BO20" s="186">
        <f t="shared" si="27"/>
        <v>222.71536782724922</v>
      </c>
      <c r="BP20" s="186">
        <f t="shared" si="27"/>
        <v>223.67900221654628</v>
      </c>
      <c r="BQ20" s="186">
        <f t="shared" si="27"/>
        <v>224.64680601384271</v>
      </c>
      <c r="BR20" s="184">
        <f t="shared" si="27"/>
        <v>225.61879725913741</v>
      </c>
    </row>
    <row r="21" spans="1:70" ht="13.2" hidden="1" x14ac:dyDescent="0.3">
      <c r="A21" s="14"/>
      <c r="C21" s="136" t="s">
        <v>22</v>
      </c>
      <c r="D21" s="14"/>
      <c r="E21" s="90">
        <f t="shared" ref="E21:E22" si="28">SUM(K21:V21)</f>
        <v>379.31814518162457</v>
      </c>
      <c r="F21" s="90">
        <f t="shared" ref="F21:F26" si="29">SUM(W21:AH21)</f>
        <v>384.41932023751531</v>
      </c>
      <c r="G21" s="90">
        <f t="shared" ref="G21:G27" si="30">SUM(AI21:AT21)</f>
        <v>389.58909730277833</v>
      </c>
      <c r="H21" s="90">
        <f t="shared" ref="H21:H27" si="31">SUM(AU21:BF21)</f>
        <v>394.82839895616053</v>
      </c>
      <c r="I21" s="90">
        <f t="shared" ref="I21:I27" si="32">SUM(BG21:BR21)</f>
        <v>400.1381601835019</v>
      </c>
      <c r="J21" s="113"/>
      <c r="K21" s="90">
        <f>Income!K10</f>
        <v>31.416666666666668</v>
      </c>
      <c r="L21" s="91">
        <f>Income!L10</f>
        <v>31.451659829623086</v>
      </c>
      <c r="M21" s="91">
        <f>Income!M10</f>
        <v>31.486691969389703</v>
      </c>
      <c r="N21" s="91">
        <f>Income!N10</f>
        <v>31.521763129380471</v>
      </c>
      <c r="O21" s="91">
        <f>Income!O10</f>
        <v>31.556873353057714</v>
      </c>
      <c r="P21" s="91">
        <f>Income!P10</f>
        <v>31.59202268393215</v>
      </c>
      <c r="Q21" s="90">
        <f>Income!Q10</f>
        <v>31.627211165562972</v>
      </c>
      <c r="R21" s="90">
        <f>Income!R10</f>
        <v>31.662438841557886</v>
      </c>
      <c r="S21" s="90">
        <f>Income!S10</f>
        <v>31.697705755573171</v>
      </c>
      <c r="T21" s="90">
        <f>Income!T10</f>
        <v>31.733011951313735</v>
      </c>
      <c r="U21" s="90">
        <f>Income!U10</f>
        <v>31.768357472533161</v>
      </c>
      <c r="V21" s="90">
        <f>Income!V10</f>
        <v>31.803742363033766</v>
      </c>
      <c r="W21" s="90">
        <f>Income!W10</f>
        <v>31.839166666666664</v>
      </c>
      <c r="X21" s="91">
        <f>Income!X10</f>
        <v>31.874630427331805</v>
      </c>
      <c r="Y21" s="91">
        <f>Income!Y10</f>
        <v>31.910133688978043</v>
      </c>
      <c r="Z21" s="91">
        <f>Income!Z10</f>
        <v>31.94567649560317</v>
      </c>
      <c r="AA21" s="91">
        <f>Income!AA10</f>
        <v>31.981258891254001</v>
      </c>
      <c r="AB21" s="91">
        <f>Income!AB10</f>
        <v>32.016880920026402</v>
      </c>
      <c r="AC21" s="90">
        <f>Income!AC10</f>
        <v>32.052542626065367</v>
      </c>
      <c r="AD21" s="90">
        <f>Income!AD10</f>
        <v>32.088244053565042</v>
      </c>
      <c r="AE21" s="90">
        <f>Income!AE10</f>
        <v>32.123985246768811</v>
      </c>
      <c r="AF21" s="90">
        <f>Income!AF10</f>
        <v>32.15976624996933</v>
      </c>
      <c r="AG21" s="90">
        <f>Income!AG10</f>
        <v>32.195587107508601</v>
      </c>
      <c r="AH21" s="90">
        <f>Income!AH10</f>
        <v>32.231447863778016</v>
      </c>
      <c r="AI21" s="90">
        <f>Income!AI10</f>
        <v>32.267348563218384</v>
      </c>
      <c r="AJ21" s="91">
        <f>Income!AJ10</f>
        <v>32.303289250320063</v>
      </c>
      <c r="AK21" s="91">
        <f>Income!AK10</f>
        <v>32.339269969622912</v>
      </c>
      <c r="AL21" s="91">
        <f>Income!AL10</f>
        <v>32.375290765716457</v>
      </c>
      <c r="AM21" s="91">
        <f>Income!AM10</f>
        <v>32.411351683239829</v>
      </c>
      <c r="AN21" s="91">
        <f>Income!AN10</f>
        <v>32.447452766881931</v>
      </c>
      <c r="AO21" s="90">
        <f>Income!AO10</f>
        <v>32.483594061381417</v>
      </c>
      <c r="AP21" s="90">
        <f>Income!AP10</f>
        <v>32.519775611526775</v>
      </c>
      <c r="AQ21" s="90">
        <f>Income!AQ10</f>
        <v>32.555997462156384</v>
      </c>
      <c r="AR21" s="90">
        <f>Income!AR10</f>
        <v>32.592259658158568</v>
      </c>
      <c r="AS21" s="90">
        <f>Income!AS10</f>
        <v>32.628562244471652</v>
      </c>
      <c r="AT21" s="90">
        <f>Income!AT10</f>
        <v>32.664905266083984</v>
      </c>
      <c r="AU21" s="90">
        <f>Income!AU10</f>
        <v>32.701288768034082</v>
      </c>
      <c r="AV21" s="91">
        <f>Income!AV10</f>
        <v>32.737712795410573</v>
      </c>
      <c r="AW21" s="91">
        <f>Income!AW10</f>
        <v>32.774177393352325</v>
      </c>
      <c r="AX21" s="91">
        <f>Income!AX10</f>
        <v>32.810682607048498</v>
      </c>
      <c r="AY21" s="91">
        <f>Income!AY10</f>
        <v>32.847228481738568</v>
      </c>
      <c r="AZ21" s="91">
        <f>Income!AZ10</f>
        <v>32.883815062712408</v>
      </c>
      <c r="BA21" s="90">
        <f>Income!BA10</f>
        <v>32.920442395310332</v>
      </c>
      <c r="BB21" s="90">
        <f>Income!BB10</f>
        <v>32.957110524923166</v>
      </c>
      <c r="BC21" s="90">
        <f>Income!BC10</f>
        <v>32.99381949699228</v>
      </c>
      <c r="BD21" s="90">
        <f>Income!BD10</f>
        <v>33.030569357009668</v>
      </c>
      <c r="BE21" s="90">
        <f>Income!BE10</f>
        <v>33.067360150517985</v>
      </c>
      <c r="BF21" s="90">
        <f>Income!BF10</f>
        <v>33.104191923110633</v>
      </c>
      <c r="BG21" s="90">
        <f>Income!BG10</f>
        <v>33.141064720431771</v>
      </c>
      <c r="BH21" s="91">
        <f>Income!BH10</f>
        <v>33.17797858817643</v>
      </c>
      <c r="BI21" s="91">
        <f>Income!BI10</f>
        <v>33.214933572090509</v>
      </c>
      <c r="BJ21" s="91">
        <f>Income!BJ10</f>
        <v>33.251929717970867</v>
      </c>
      <c r="BK21" s="91">
        <f>Income!BK10</f>
        <v>33.28896707166539</v>
      </c>
      <c r="BL21" s="91">
        <f>Income!BL10</f>
        <v>33.326045679073026</v>
      </c>
      <c r="BM21" s="90">
        <f>Income!BM10</f>
        <v>33.363165586143815</v>
      </c>
      <c r="BN21" s="90">
        <f>Income!BN10</f>
        <v>33.400326838879032</v>
      </c>
      <c r="BO21" s="90">
        <f>Income!BO10</f>
        <v>33.43752948333114</v>
      </c>
      <c r="BP21" s="90">
        <f>Income!BP10</f>
        <v>33.474773565603925</v>
      </c>
      <c r="BQ21" s="90">
        <f>Income!BQ10</f>
        <v>33.512059131852538</v>
      </c>
      <c r="BR21" s="90">
        <f>Income!BR10</f>
        <v>33.549386228283495</v>
      </c>
    </row>
    <row r="22" spans="1:70" ht="13.2" hidden="1" x14ac:dyDescent="0.3">
      <c r="A22" s="14"/>
      <c r="C22" s="141" t="s">
        <v>23</v>
      </c>
      <c r="D22" s="14"/>
      <c r="E22" s="137">
        <f t="shared" si="28"/>
        <v>496.79223139193084</v>
      </c>
      <c r="F22" s="137">
        <f t="shared" si="29"/>
        <v>511.8987706730324</v>
      </c>
      <c r="G22" s="137">
        <f t="shared" si="30"/>
        <v>527.46467206696741</v>
      </c>
      <c r="H22" s="137">
        <f t="shared" si="31"/>
        <v>543.50390393186103</v>
      </c>
      <c r="I22" s="137">
        <f t="shared" si="32"/>
        <v>560.0308593779522</v>
      </c>
      <c r="J22" s="113"/>
      <c r="K22" s="94">
        <f>Income!K11</f>
        <v>40.833333333333336</v>
      </c>
      <c r="L22" s="94">
        <f>Income!L11</f>
        <v>40.935390865003733</v>
      </c>
      <c r="M22" s="94">
        <f>Income!M11</f>
        <v>41.037703476015444</v>
      </c>
      <c r="N22" s="94">
        <f>Income!N11</f>
        <v>41.140271803905669</v>
      </c>
      <c r="O22" s="94">
        <f>Income!O11</f>
        <v>41.243096487804991</v>
      </c>
      <c r="P22" s="94">
        <f>Income!P11</f>
        <v>41.346178168441469</v>
      </c>
      <c r="Q22" s="94">
        <f>Income!Q11</f>
        <v>41.449517488144544</v>
      </c>
      <c r="R22" s="94">
        <f>Income!R11</f>
        <v>41.55311509084909</v>
      </c>
      <c r="S22" s="94">
        <f>Income!S11</f>
        <v>41.656971622099405</v>
      </c>
      <c r="T22" s="94">
        <f>Income!T11</f>
        <v>41.761087729053244</v>
      </c>
      <c r="U22" s="94">
        <f>Income!U11</f>
        <v>41.865464060485856</v>
      </c>
      <c r="V22" s="137">
        <f>Income!V11</f>
        <v>41.970101266793996</v>
      </c>
      <c r="W22" s="94">
        <f>Income!W11</f>
        <v>42.075000000000003</v>
      </c>
      <c r="X22" s="94">
        <f>Income!X11</f>
        <v>42.180160913755891</v>
      </c>
      <c r="Y22" s="94">
        <f>Income!Y11</f>
        <v>42.28558466334735</v>
      </c>
      <c r="Z22" s="94">
        <f>Income!Z11</f>
        <v>42.391271905697899</v>
      </c>
      <c r="AA22" s="94">
        <f>Income!AA11</f>
        <v>42.497223299372941</v>
      </c>
      <c r="AB22" s="94">
        <f>Income!AB11</f>
        <v>42.603439504583875</v>
      </c>
      <c r="AC22" s="94">
        <f>Income!AC11</f>
        <v>42.709921183192201</v>
      </c>
      <c r="AD22" s="94">
        <f>Income!AD11</f>
        <v>42.816668998713688</v>
      </c>
      <c r="AE22" s="94">
        <f>Income!AE11</f>
        <v>42.923683616322428</v>
      </c>
      <c r="AF22" s="94">
        <f>Income!AF11</f>
        <v>43.030965702855077</v>
      </c>
      <c r="AG22" s="94">
        <f>Income!AG11</f>
        <v>43.138515926814911</v>
      </c>
      <c r="AH22" s="137">
        <f>Income!AH11</f>
        <v>43.246334958376089</v>
      </c>
      <c r="AI22" s="94">
        <f>Income!AI11</f>
        <v>43.354423469387761</v>
      </c>
      <c r="AJ22" s="94">
        <f>Income!AJ11</f>
        <v>43.462782133378262</v>
      </c>
      <c r="AK22" s="94">
        <f>Income!AK11</f>
        <v>43.571411625559342</v>
      </c>
      <c r="AL22" s="94">
        <f>Income!AL11</f>
        <v>43.68031262283035</v>
      </c>
      <c r="AM22" s="94">
        <f>Income!AM11</f>
        <v>43.789485803782448</v>
      </c>
      <c r="AN22" s="94">
        <f>Income!AN11</f>
        <v>43.898931848702851</v>
      </c>
      <c r="AO22" s="94">
        <f>Income!AO11</f>
        <v>44.008651439579076</v>
      </c>
      <c r="AP22" s="94">
        <f>Income!AP11</f>
        <v>44.118645260103143</v>
      </c>
      <c r="AQ22" s="94">
        <f>Income!AQ11</f>
        <v>44.22891399567591</v>
      </c>
      <c r="AR22" s="94">
        <f>Income!AR11</f>
        <v>44.339458333411287</v>
      </c>
      <c r="AS22" s="94">
        <f>Income!AS11</f>
        <v>44.450278962140516</v>
      </c>
      <c r="AT22" s="137">
        <f>Income!AT11</f>
        <v>44.561376572416513</v>
      </c>
      <c r="AU22" s="94">
        <f>Income!AU11</f>
        <v>44.672751856518126</v>
      </c>
      <c r="AV22" s="94">
        <f>Income!AV11</f>
        <v>44.784405508454462</v>
      </c>
      <c r="AW22" s="94">
        <f>Income!AW11</f>
        <v>44.896338223969209</v>
      </c>
      <c r="AX22" s="94">
        <f>Income!AX11</f>
        <v>45.008550700544994</v>
      </c>
      <c r="AY22" s="94">
        <f>Income!AY11</f>
        <v>45.121043637407666</v>
      </c>
      <c r="AZ22" s="94">
        <f>Income!AZ11</f>
        <v>45.233817735530756</v>
      </c>
      <c r="BA22" s="94">
        <f>Income!BA11</f>
        <v>45.346873697639744</v>
      </c>
      <c r="BB22" s="94">
        <f>Income!BB11</f>
        <v>45.460212228216484</v>
      </c>
      <c r="BC22" s="94">
        <f>Income!BC11</f>
        <v>45.573834033503609</v>
      </c>
      <c r="BD22" s="94">
        <f>Income!BD11</f>
        <v>45.687739821508892</v>
      </c>
      <c r="BE22" s="94">
        <f>Income!BE11</f>
        <v>45.801930302009687</v>
      </c>
      <c r="BF22" s="137">
        <f>Income!BF11</f>
        <v>45.916406186557339</v>
      </c>
      <c r="BG22" s="94">
        <f>Income!BG11</f>
        <v>46.031168188481637</v>
      </c>
      <c r="BH22" s="94">
        <f>Income!BH11</f>
        <v>46.146217022895222</v>
      </c>
      <c r="BI22" s="94">
        <f>Income!BI11</f>
        <v>46.26155340669807</v>
      </c>
      <c r="BJ22" s="94">
        <f>Income!BJ11</f>
        <v>46.377178058581968</v>
      </c>
      <c r="BK22" s="94">
        <f>Income!BK11</f>
        <v>46.493091699034963</v>
      </c>
      <c r="BL22" s="94">
        <f>Income!BL11</f>
        <v>46.609295050345871</v>
      </c>
      <c r="BM22" s="94">
        <f>Income!BM11</f>
        <v>46.725788836608793</v>
      </c>
      <c r="BN22" s="94">
        <f>Income!BN11</f>
        <v>46.842573783727559</v>
      </c>
      <c r="BO22" s="94">
        <f>Income!BO11</f>
        <v>46.959650619420351</v>
      </c>
      <c r="BP22" s="94">
        <f>Income!BP11</f>
        <v>47.077020073224155</v>
      </c>
      <c r="BQ22" s="94">
        <f>Income!BQ11</f>
        <v>47.194682876499371</v>
      </c>
      <c r="BR22" s="137">
        <f>Income!BR11</f>
        <v>47.312639762434287</v>
      </c>
    </row>
    <row r="23" spans="1:70" ht="13.2" x14ac:dyDescent="0.3">
      <c r="A23" s="13"/>
      <c r="B23" s="5"/>
      <c r="C23" s="61" t="s">
        <v>186</v>
      </c>
      <c r="D23" s="14"/>
      <c r="E23" s="89">
        <f>SUM(K23:V23)</f>
        <v>876.11037657355519</v>
      </c>
      <c r="F23" s="89">
        <f t="shared" si="29"/>
        <v>896.31809091054743</v>
      </c>
      <c r="G23" s="89">
        <f t="shared" si="30"/>
        <v>917.05376936974596</v>
      </c>
      <c r="H23" s="89">
        <f t="shared" si="31"/>
        <v>938.33230288802156</v>
      </c>
      <c r="I23" s="89">
        <f t="shared" si="32"/>
        <v>960.16901956145432</v>
      </c>
      <c r="J23" s="88"/>
      <c r="K23" s="90">
        <f t="shared" ref="K23:AP23" si="33">SUM(K21:K22)</f>
        <v>72.25</v>
      </c>
      <c r="L23" s="90">
        <f t="shared" si="33"/>
        <v>72.387050694626822</v>
      </c>
      <c r="M23" s="91">
        <f t="shared" si="33"/>
        <v>72.524395445405148</v>
      </c>
      <c r="N23" s="91">
        <f t="shared" si="33"/>
        <v>72.662034933286137</v>
      </c>
      <c r="O23" s="91">
        <f t="shared" si="33"/>
        <v>72.799969840862701</v>
      </c>
      <c r="P23" s="91">
        <f t="shared" si="33"/>
        <v>72.938200852373626</v>
      </c>
      <c r="Q23" s="91">
        <f t="shared" si="33"/>
        <v>73.076728653707519</v>
      </c>
      <c r="R23" s="91">
        <f t="shared" si="33"/>
        <v>73.215553932406976</v>
      </c>
      <c r="S23" s="91">
        <f t="shared" si="33"/>
        <v>73.354677377672573</v>
      </c>
      <c r="T23" s="91">
        <f t="shared" si="33"/>
        <v>73.494099680366986</v>
      </c>
      <c r="U23" s="91">
        <f t="shared" si="33"/>
        <v>73.633821533019017</v>
      </c>
      <c r="V23" s="89">
        <f t="shared" si="33"/>
        <v>73.773843629827766</v>
      </c>
      <c r="W23" s="90">
        <f t="shared" si="33"/>
        <v>73.914166666666659</v>
      </c>
      <c r="X23" s="91">
        <f t="shared" si="33"/>
        <v>74.054791341087693</v>
      </c>
      <c r="Y23" s="91">
        <f t="shared" si="33"/>
        <v>74.1957183523254</v>
      </c>
      <c r="Z23" s="91">
        <f t="shared" si="33"/>
        <v>74.336948401301072</v>
      </c>
      <c r="AA23" s="91">
        <f t="shared" si="33"/>
        <v>74.478482190626949</v>
      </c>
      <c r="AB23" s="91">
        <f t="shared" si="33"/>
        <v>74.62032042461027</v>
      </c>
      <c r="AC23" s="91">
        <f t="shared" si="33"/>
        <v>74.762463809257568</v>
      </c>
      <c r="AD23" s="91">
        <f t="shared" si="33"/>
        <v>74.904913052278729</v>
      </c>
      <c r="AE23" s="91">
        <f t="shared" si="33"/>
        <v>75.047668863091246</v>
      </c>
      <c r="AF23" s="91">
        <f t="shared" si="33"/>
        <v>75.190731952824407</v>
      </c>
      <c r="AG23" s="91">
        <f t="shared" si="33"/>
        <v>75.334103034323505</v>
      </c>
      <c r="AH23" s="89">
        <f t="shared" si="33"/>
        <v>75.477782822154097</v>
      </c>
      <c r="AI23" s="90">
        <f t="shared" si="33"/>
        <v>75.621772032606145</v>
      </c>
      <c r="AJ23" s="91">
        <f t="shared" si="33"/>
        <v>75.766071383698318</v>
      </c>
      <c r="AK23" s="91">
        <f t="shared" si="33"/>
        <v>75.910681595182254</v>
      </c>
      <c r="AL23" s="91">
        <f t="shared" si="33"/>
        <v>76.055603388546814</v>
      </c>
      <c r="AM23" s="91">
        <f t="shared" si="33"/>
        <v>76.200837487022284</v>
      </c>
      <c r="AN23" s="91">
        <f t="shared" si="33"/>
        <v>76.346384615584782</v>
      </c>
      <c r="AO23" s="91">
        <f t="shared" si="33"/>
        <v>76.492245500960493</v>
      </c>
      <c r="AP23" s="91">
        <f t="shared" si="33"/>
        <v>76.638420871629918</v>
      </c>
      <c r="AQ23" s="91">
        <f t="shared" ref="AQ23:BR23" si="34">SUM(AQ21:AQ22)</f>
        <v>76.784911457832294</v>
      </c>
      <c r="AR23" s="91">
        <f t="shared" si="34"/>
        <v>76.931717991569855</v>
      </c>
      <c r="AS23" s="91">
        <f t="shared" si="34"/>
        <v>77.078841206612168</v>
      </c>
      <c r="AT23" s="89">
        <f t="shared" si="34"/>
        <v>77.226281838500498</v>
      </c>
      <c r="AU23" s="90">
        <f t="shared" si="34"/>
        <v>77.374040624552208</v>
      </c>
      <c r="AV23" s="91">
        <f t="shared" si="34"/>
        <v>77.522118303865028</v>
      </c>
      <c r="AW23" s="91">
        <f t="shared" si="34"/>
        <v>77.670515617321541</v>
      </c>
      <c r="AX23" s="91">
        <f t="shared" si="34"/>
        <v>77.819233307593493</v>
      </c>
      <c r="AY23" s="91">
        <f t="shared" si="34"/>
        <v>77.968272119146235</v>
      </c>
      <c r="AZ23" s="91">
        <f t="shared" si="34"/>
        <v>78.117632798243164</v>
      </c>
      <c r="BA23" s="91">
        <f t="shared" si="34"/>
        <v>78.267316092950068</v>
      </c>
      <c r="BB23" s="91">
        <f t="shared" si="34"/>
        <v>78.417322753139644</v>
      </c>
      <c r="BC23" s="91">
        <f t="shared" si="34"/>
        <v>78.567653530495889</v>
      </c>
      <c r="BD23" s="91">
        <f t="shared" si="34"/>
        <v>78.718309178518552</v>
      </c>
      <c r="BE23" s="91">
        <f t="shared" si="34"/>
        <v>78.869290452527679</v>
      </c>
      <c r="BF23" s="89">
        <f t="shared" si="34"/>
        <v>79.020598109667972</v>
      </c>
      <c r="BG23" s="90">
        <f t="shared" si="34"/>
        <v>79.172232908913401</v>
      </c>
      <c r="BH23" s="91">
        <f t="shared" si="34"/>
        <v>79.324195611071644</v>
      </c>
      <c r="BI23" s="91">
        <f t="shared" si="34"/>
        <v>79.476486978788586</v>
      </c>
      <c r="BJ23" s="91">
        <f t="shared" si="34"/>
        <v>79.629107776552843</v>
      </c>
      <c r="BK23" s="91">
        <f t="shared" si="34"/>
        <v>79.78205877070036</v>
      </c>
      <c r="BL23" s="91">
        <f t="shared" si="34"/>
        <v>79.935340729418897</v>
      </c>
      <c r="BM23" s="91">
        <f t="shared" si="34"/>
        <v>80.088954422752607</v>
      </c>
      <c r="BN23" s="91">
        <f t="shared" si="34"/>
        <v>80.242900622606584</v>
      </c>
      <c r="BO23" s="91">
        <f t="shared" si="34"/>
        <v>80.397180102751491</v>
      </c>
      <c r="BP23" s="91">
        <f t="shared" si="34"/>
        <v>80.551793638828087</v>
      </c>
      <c r="BQ23" s="91">
        <f t="shared" si="34"/>
        <v>80.70674200835191</v>
      </c>
      <c r="BR23" s="89">
        <f t="shared" si="34"/>
        <v>80.862025990717783</v>
      </c>
    </row>
    <row r="24" spans="1:70" ht="13.2" hidden="1" x14ac:dyDescent="0.3">
      <c r="C24" s="136" t="s">
        <v>180</v>
      </c>
      <c r="D24" s="14"/>
      <c r="E24" s="90">
        <f t="shared" ref="E24:E26" si="35">SUM(K24:V24)</f>
        <v>3.9083333333333341</v>
      </c>
      <c r="F24" s="90">
        <f t="shared" si="29"/>
        <v>5.6000000000000005</v>
      </c>
      <c r="G24" s="90">
        <f t="shared" si="30"/>
        <v>5.6000000000000005</v>
      </c>
      <c r="H24" s="90">
        <f t="shared" si="31"/>
        <v>5.6000000000000005</v>
      </c>
      <c r="I24" s="90">
        <f t="shared" si="32"/>
        <v>5.6000000000000005</v>
      </c>
      <c r="J24" s="113"/>
      <c r="K24" s="90">
        <f>RateShort/12*Balance!K22</f>
        <v>0.29166666666666669</v>
      </c>
      <c r="L24" s="91">
        <f>RateShort/12*Balance!L22</f>
        <v>0.29166666666666669</v>
      </c>
      <c r="M24" s="91">
        <f>RateShort/12*Balance!M22</f>
        <v>0.29166666666666669</v>
      </c>
      <c r="N24" s="91">
        <f>RateShort/12*Balance!N22</f>
        <v>0.29166666666666669</v>
      </c>
      <c r="O24" s="91">
        <f>RateShort/12*Balance!O22</f>
        <v>0.29166666666666669</v>
      </c>
      <c r="P24" s="91">
        <f>RateShort/12*Balance!P22</f>
        <v>0.35000000000000003</v>
      </c>
      <c r="Q24" s="90">
        <f>RateShort/12*Balance!Q22</f>
        <v>0.35000000000000003</v>
      </c>
      <c r="R24" s="90">
        <f>RateShort/12*Balance!R22</f>
        <v>0.35000000000000003</v>
      </c>
      <c r="S24" s="90">
        <f>RateShort/12*Balance!S22</f>
        <v>0.35000000000000003</v>
      </c>
      <c r="T24" s="90">
        <f>RateShort/12*Balance!T22</f>
        <v>0.35000000000000003</v>
      </c>
      <c r="U24" s="90">
        <f>RateShort/12*Balance!U22</f>
        <v>0.35000000000000003</v>
      </c>
      <c r="V24" s="90">
        <f>RateShort/12*Balance!V22</f>
        <v>0.35000000000000003</v>
      </c>
      <c r="W24" s="90">
        <f>RateShort/12*Balance!W22</f>
        <v>0.46666666666666667</v>
      </c>
      <c r="X24" s="91">
        <f>RateShort/12*Balance!X22</f>
        <v>0.46666666666666667</v>
      </c>
      <c r="Y24" s="91">
        <f>RateShort/12*Balance!Y22</f>
        <v>0.46666666666666667</v>
      </c>
      <c r="Z24" s="91">
        <f>RateShort/12*Balance!Z22</f>
        <v>0.46666666666666667</v>
      </c>
      <c r="AA24" s="91">
        <f>RateShort/12*Balance!AA22</f>
        <v>0.46666666666666667</v>
      </c>
      <c r="AB24" s="91">
        <f>RateShort/12*Balance!AB22</f>
        <v>0.46666666666666667</v>
      </c>
      <c r="AC24" s="90">
        <f>RateShort/12*Balance!AC22</f>
        <v>0.46666666666666667</v>
      </c>
      <c r="AD24" s="90">
        <f>RateShort/12*Balance!AD22</f>
        <v>0.46666666666666667</v>
      </c>
      <c r="AE24" s="90">
        <f>RateShort/12*Balance!AE22</f>
        <v>0.46666666666666667</v>
      </c>
      <c r="AF24" s="90">
        <f>RateShort/12*Balance!AF22</f>
        <v>0.46666666666666667</v>
      </c>
      <c r="AG24" s="90">
        <f>RateShort/12*Balance!AG22</f>
        <v>0.46666666666666667</v>
      </c>
      <c r="AH24" s="90">
        <f>RateShort/12*Balance!AH22</f>
        <v>0.46666666666666667</v>
      </c>
      <c r="AI24" s="90">
        <f>RateShort/12*Balance!AI22</f>
        <v>0.46666666666666667</v>
      </c>
      <c r="AJ24" s="91">
        <f>RateShort/12*Balance!AJ22</f>
        <v>0.46666666666666667</v>
      </c>
      <c r="AK24" s="91">
        <f>RateShort/12*Balance!AK22</f>
        <v>0.46666666666666667</v>
      </c>
      <c r="AL24" s="91">
        <f>RateShort/12*Balance!AL22</f>
        <v>0.46666666666666667</v>
      </c>
      <c r="AM24" s="91">
        <f>RateShort/12*Balance!AM22</f>
        <v>0.46666666666666667</v>
      </c>
      <c r="AN24" s="91">
        <f>RateShort/12*Balance!AN22</f>
        <v>0.46666666666666667</v>
      </c>
      <c r="AO24" s="90">
        <f>RateShort/12*Balance!AO22</f>
        <v>0.46666666666666667</v>
      </c>
      <c r="AP24" s="90">
        <f>RateShort/12*Balance!AP22</f>
        <v>0.46666666666666667</v>
      </c>
      <c r="AQ24" s="90">
        <f>RateShort/12*Balance!AQ22</f>
        <v>0.46666666666666667</v>
      </c>
      <c r="AR24" s="90">
        <f>RateShort/12*Balance!AR22</f>
        <v>0.46666666666666667</v>
      </c>
      <c r="AS24" s="90">
        <f>RateShort/12*Balance!AS22</f>
        <v>0.46666666666666667</v>
      </c>
      <c r="AT24" s="90">
        <f>RateShort/12*Balance!AT22</f>
        <v>0.46666666666666667</v>
      </c>
      <c r="AU24" s="90">
        <f>RateShort/12*Balance!AU22</f>
        <v>0.46666666666666667</v>
      </c>
      <c r="AV24" s="91">
        <f>RateShort/12*Balance!AV22</f>
        <v>0.46666666666666667</v>
      </c>
      <c r="AW24" s="91">
        <f>RateShort/12*Balance!AW22</f>
        <v>0.46666666666666667</v>
      </c>
      <c r="AX24" s="91">
        <f>RateShort/12*Balance!AX22</f>
        <v>0.46666666666666667</v>
      </c>
      <c r="AY24" s="91">
        <f>RateShort/12*Balance!AY22</f>
        <v>0.46666666666666667</v>
      </c>
      <c r="AZ24" s="91">
        <f>RateShort/12*Balance!AZ22</f>
        <v>0.46666666666666667</v>
      </c>
      <c r="BA24" s="90">
        <f>RateShort/12*Balance!BA22</f>
        <v>0.46666666666666667</v>
      </c>
      <c r="BB24" s="90">
        <f>RateShort/12*Balance!BB22</f>
        <v>0.46666666666666667</v>
      </c>
      <c r="BC24" s="90">
        <f>RateShort/12*Balance!BC22</f>
        <v>0.46666666666666667</v>
      </c>
      <c r="BD24" s="90">
        <f>RateShort/12*Balance!BD22</f>
        <v>0.46666666666666667</v>
      </c>
      <c r="BE24" s="90">
        <f>RateShort/12*Balance!BE22</f>
        <v>0.46666666666666667</v>
      </c>
      <c r="BF24" s="90">
        <f>RateShort/12*Balance!BF22</f>
        <v>0.46666666666666667</v>
      </c>
      <c r="BG24" s="90">
        <f>RateShort/12*Balance!BG22</f>
        <v>0.46666666666666667</v>
      </c>
      <c r="BH24" s="91">
        <f>RateShort/12*Balance!BH22</f>
        <v>0.46666666666666667</v>
      </c>
      <c r="BI24" s="91">
        <f>RateShort/12*Balance!BI22</f>
        <v>0.46666666666666667</v>
      </c>
      <c r="BJ24" s="91">
        <f>RateShort/12*Balance!BJ22</f>
        <v>0.46666666666666667</v>
      </c>
      <c r="BK24" s="91">
        <f>RateShort/12*Balance!BK22</f>
        <v>0.46666666666666667</v>
      </c>
      <c r="BL24" s="91">
        <f>RateShort/12*Balance!BL22</f>
        <v>0.46666666666666667</v>
      </c>
      <c r="BM24" s="90">
        <f>RateShort/12*Balance!BM22</f>
        <v>0.46666666666666667</v>
      </c>
      <c r="BN24" s="90">
        <f>RateShort/12*Balance!BN22</f>
        <v>0.46666666666666667</v>
      </c>
      <c r="BO24" s="90">
        <f>RateShort/12*Balance!BO22</f>
        <v>0.46666666666666667</v>
      </c>
      <c r="BP24" s="90">
        <f>RateShort/12*Balance!BP22</f>
        <v>0.46666666666666667</v>
      </c>
      <c r="BQ24" s="90">
        <f>RateShort/12*Balance!BQ22</f>
        <v>0.46666666666666667</v>
      </c>
      <c r="BR24" s="90">
        <f>RateShort/12*Balance!BR22</f>
        <v>0.46666666666666667</v>
      </c>
    </row>
    <row r="25" spans="1:70" ht="13.2" hidden="1" x14ac:dyDescent="0.3">
      <c r="C25" s="141" t="s">
        <v>181</v>
      </c>
      <c r="D25" s="14"/>
      <c r="E25" s="137">
        <f t="shared" si="35"/>
        <v>9.7708333333333321</v>
      </c>
      <c r="F25" s="137">
        <f t="shared" si="29"/>
        <v>13.124999999999998</v>
      </c>
      <c r="G25" s="137">
        <f t="shared" si="30"/>
        <v>13.124999999999998</v>
      </c>
      <c r="H25" s="137">
        <f t="shared" si="31"/>
        <v>13.124999999999998</v>
      </c>
      <c r="I25" s="137">
        <f t="shared" si="32"/>
        <v>13.124999999999998</v>
      </c>
      <c r="J25" s="113"/>
      <c r="K25" s="94">
        <f>RateLong/12*Balance!K24</f>
        <v>0.72916666666666663</v>
      </c>
      <c r="L25" s="94">
        <f>RateLong/12*Balance!L24</f>
        <v>0.72916666666666663</v>
      </c>
      <c r="M25" s="94">
        <f>RateLong/12*Balance!M24</f>
        <v>0.72916666666666663</v>
      </c>
      <c r="N25" s="94">
        <f>RateLong/12*Balance!N24</f>
        <v>0.72916666666666663</v>
      </c>
      <c r="O25" s="94">
        <f>RateLong/12*Balance!O24</f>
        <v>0.72916666666666663</v>
      </c>
      <c r="P25" s="94">
        <f>RateLong/12*Balance!P24</f>
        <v>0.87499999999999989</v>
      </c>
      <c r="Q25" s="94">
        <f>RateLong/12*Balance!Q24</f>
        <v>0.87499999999999989</v>
      </c>
      <c r="R25" s="94">
        <f>RateLong/12*Balance!R24</f>
        <v>0.87499999999999989</v>
      </c>
      <c r="S25" s="94">
        <f>RateLong/12*Balance!S24</f>
        <v>0.87499999999999989</v>
      </c>
      <c r="T25" s="94">
        <f>RateLong/12*Balance!T24</f>
        <v>0.87499999999999989</v>
      </c>
      <c r="U25" s="94">
        <f>RateLong/12*Balance!U24</f>
        <v>0.87499999999999989</v>
      </c>
      <c r="V25" s="137">
        <f>RateLong/12*Balance!V24</f>
        <v>0.87499999999999989</v>
      </c>
      <c r="W25" s="94">
        <f>RateLong/12*Balance!W24</f>
        <v>1.0937499999999998</v>
      </c>
      <c r="X25" s="94">
        <f>RateLong/12*Balance!X24</f>
        <v>1.0937499999999998</v>
      </c>
      <c r="Y25" s="94">
        <f>RateLong/12*Balance!Y24</f>
        <v>1.0937499999999998</v>
      </c>
      <c r="Z25" s="94">
        <f>RateLong/12*Balance!Z24</f>
        <v>1.0937499999999998</v>
      </c>
      <c r="AA25" s="94">
        <f>RateLong/12*Balance!AA24</f>
        <v>1.0937499999999998</v>
      </c>
      <c r="AB25" s="94">
        <f>RateLong/12*Balance!AB24</f>
        <v>1.0937499999999998</v>
      </c>
      <c r="AC25" s="94">
        <f>RateLong/12*Balance!AC24</f>
        <v>1.0937499999999998</v>
      </c>
      <c r="AD25" s="94">
        <f>RateLong/12*Balance!AD24</f>
        <v>1.0937499999999998</v>
      </c>
      <c r="AE25" s="94">
        <f>RateLong/12*Balance!AE24</f>
        <v>1.0937499999999998</v>
      </c>
      <c r="AF25" s="94">
        <f>RateLong/12*Balance!AF24</f>
        <v>1.0937499999999998</v>
      </c>
      <c r="AG25" s="94">
        <f>RateLong/12*Balance!AG24</f>
        <v>1.0937499999999998</v>
      </c>
      <c r="AH25" s="137">
        <f>RateLong/12*Balance!AH24</f>
        <v>1.0937499999999998</v>
      </c>
      <c r="AI25" s="94">
        <f>RateLong/12*Balance!AI24</f>
        <v>1.0937499999999998</v>
      </c>
      <c r="AJ25" s="94">
        <f>RateLong/12*Balance!AJ24</f>
        <v>1.0937499999999998</v>
      </c>
      <c r="AK25" s="94">
        <f>RateLong/12*Balance!AK24</f>
        <v>1.0937499999999998</v>
      </c>
      <c r="AL25" s="94">
        <f>RateLong/12*Balance!AL24</f>
        <v>1.0937499999999998</v>
      </c>
      <c r="AM25" s="94">
        <f>RateLong/12*Balance!AM24</f>
        <v>1.0937499999999998</v>
      </c>
      <c r="AN25" s="94">
        <f>RateLong/12*Balance!AN24</f>
        <v>1.0937499999999998</v>
      </c>
      <c r="AO25" s="94">
        <f>RateLong/12*Balance!AO24</f>
        <v>1.0937499999999998</v>
      </c>
      <c r="AP25" s="94">
        <f>RateLong/12*Balance!AP24</f>
        <v>1.0937499999999998</v>
      </c>
      <c r="AQ25" s="94">
        <f>RateLong/12*Balance!AQ24</f>
        <v>1.0937499999999998</v>
      </c>
      <c r="AR25" s="94">
        <f>RateLong/12*Balance!AR24</f>
        <v>1.0937499999999998</v>
      </c>
      <c r="AS25" s="94">
        <f>RateLong/12*Balance!AS24</f>
        <v>1.0937499999999998</v>
      </c>
      <c r="AT25" s="137">
        <f>RateLong/12*Balance!AT24</f>
        <v>1.0937499999999998</v>
      </c>
      <c r="AU25" s="94">
        <f>RateLong/12*Balance!AU24</f>
        <v>1.0937499999999998</v>
      </c>
      <c r="AV25" s="94">
        <f>RateLong/12*Balance!AV24</f>
        <v>1.0937499999999998</v>
      </c>
      <c r="AW25" s="94">
        <f>RateLong/12*Balance!AW24</f>
        <v>1.0937499999999998</v>
      </c>
      <c r="AX25" s="94">
        <f>RateLong/12*Balance!AX24</f>
        <v>1.0937499999999998</v>
      </c>
      <c r="AY25" s="94">
        <f>RateLong/12*Balance!AY24</f>
        <v>1.0937499999999998</v>
      </c>
      <c r="AZ25" s="94">
        <f>RateLong/12*Balance!AZ24</f>
        <v>1.0937499999999998</v>
      </c>
      <c r="BA25" s="94">
        <f>RateLong/12*Balance!BA24</f>
        <v>1.0937499999999998</v>
      </c>
      <c r="BB25" s="94">
        <f>RateLong/12*Balance!BB24</f>
        <v>1.0937499999999998</v>
      </c>
      <c r="BC25" s="94">
        <f>RateLong/12*Balance!BC24</f>
        <v>1.0937499999999998</v>
      </c>
      <c r="BD25" s="94">
        <f>RateLong/12*Balance!BD24</f>
        <v>1.0937499999999998</v>
      </c>
      <c r="BE25" s="94">
        <f>RateLong/12*Balance!BE24</f>
        <v>1.0937499999999998</v>
      </c>
      <c r="BF25" s="137">
        <f>RateLong/12*Balance!BF24</f>
        <v>1.0937499999999998</v>
      </c>
      <c r="BG25" s="94">
        <f>RateLong/12*Balance!BG24</f>
        <v>1.0937499999999998</v>
      </c>
      <c r="BH25" s="94">
        <f>RateLong/12*Balance!BH24</f>
        <v>1.0937499999999998</v>
      </c>
      <c r="BI25" s="94">
        <f>RateLong/12*Balance!BI24</f>
        <v>1.0937499999999998</v>
      </c>
      <c r="BJ25" s="94">
        <f>RateLong/12*Balance!BJ24</f>
        <v>1.0937499999999998</v>
      </c>
      <c r="BK25" s="94">
        <f>RateLong/12*Balance!BK24</f>
        <v>1.0937499999999998</v>
      </c>
      <c r="BL25" s="94">
        <f>RateLong/12*Balance!BL24</f>
        <v>1.0937499999999998</v>
      </c>
      <c r="BM25" s="94">
        <f>RateLong/12*Balance!BM24</f>
        <v>1.0937499999999998</v>
      </c>
      <c r="BN25" s="94">
        <f>RateLong/12*Balance!BN24</f>
        <v>1.0937499999999998</v>
      </c>
      <c r="BO25" s="94">
        <f>RateLong/12*Balance!BO24</f>
        <v>1.0937499999999998</v>
      </c>
      <c r="BP25" s="94">
        <f>RateLong/12*Balance!BP24</f>
        <v>1.0937499999999998</v>
      </c>
      <c r="BQ25" s="94">
        <f>RateLong/12*Balance!BQ24</f>
        <v>1.0937499999999998</v>
      </c>
      <c r="BR25" s="137">
        <f>RateLong/12*Balance!BR24</f>
        <v>1.0937499999999998</v>
      </c>
    </row>
    <row r="26" spans="1:70" ht="13.2" x14ac:dyDescent="0.3">
      <c r="A26" s="13"/>
      <c r="B26" s="5"/>
      <c r="C26" s="61" t="s">
        <v>25</v>
      </c>
      <c r="D26" s="14"/>
      <c r="E26" s="89">
        <f t="shared" si="35"/>
        <v>13.679166666666664</v>
      </c>
      <c r="F26" s="89">
        <f t="shared" si="29"/>
        <v>18.724999999999998</v>
      </c>
      <c r="G26" s="89">
        <f t="shared" si="30"/>
        <v>18.724999999999998</v>
      </c>
      <c r="H26" s="89">
        <f t="shared" si="31"/>
        <v>18.724999999999998</v>
      </c>
      <c r="I26" s="89">
        <f t="shared" si="32"/>
        <v>18.724999999999998</v>
      </c>
      <c r="J26" s="88"/>
      <c r="K26" s="90">
        <f t="shared" ref="K26:AP26" si="36">SUM(K24:K25)</f>
        <v>1.0208333333333333</v>
      </c>
      <c r="L26" s="90">
        <f t="shared" si="36"/>
        <v>1.0208333333333333</v>
      </c>
      <c r="M26" s="91">
        <f t="shared" si="36"/>
        <v>1.0208333333333333</v>
      </c>
      <c r="N26" s="91">
        <f t="shared" si="36"/>
        <v>1.0208333333333333</v>
      </c>
      <c r="O26" s="91">
        <f t="shared" si="36"/>
        <v>1.0208333333333333</v>
      </c>
      <c r="P26" s="91">
        <f t="shared" si="36"/>
        <v>1.2249999999999999</v>
      </c>
      <c r="Q26" s="91">
        <f t="shared" si="36"/>
        <v>1.2249999999999999</v>
      </c>
      <c r="R26" s="91">
        <f t="shared" si="36"/>
        <v>1.2249999999999999</v>
      </c>
      <c r="S26" s="91">
        <f t="shared" si="36"/>
        <v>1.2249999999999999</v>
      </c>
      <c r="T26" s="91">
        <f t="shared" si="36"/>
        <v>1.2249999999999999</v>
      </c>
      <c r="U26" s="91">
        <f t="shared" si="36"/>
        <v>1.2249999999999999</v>
      </c>
      <c r="V26" s="89">
        <f t="shared" si="36"/>
        <v>1.2249999999999999</v>
      </c>
      <c r="W26" s="90">
        <f t="shared" si="36"/>
        <v>1.5604166666666663</v>
      </c>
      <c r="X26" s="91">
        <f t="shared" si="36"/>
        <v>1.5604166666666663</v>
      </c>
      <c r="Y26" s="91">
        <f t="shared" si="36"/>
        <v>1.5604166666666663</v>
      </c>
      <c r="Z26" s="91">
        <f t="shared" si="36"/>
        <v>1.5604166666666663</v>
      </c>
      <c r="AA26" s="91">
        <f t="shared" si="36"/>
        <v>1.5604166666666663</v>
      </c>
      <c r="AB26" s="91">
        <f t="shared" si="36"/>
        <v>1.5604166666666663</v>
      </c>
      <c r="AC26" s="91">
        <f t="shared" si="36"/>
        <v>1.5604166666666663</v>
      </c>
      <c r="AD26" s="91">
        <f t="shared" si="36"/>
        <v>1.5604166666666663</v>
      </c>
      <c r="AE26" s="91">
        <f t="shared" si="36"/>
        <v>1.5604166666666663</v>
      </c>
      <c r="AF26" s="91">
        <f t="shared" si="36"/>
        <v>1.5604166666666663</v>
      </c>
      <c r="AG26" s="91">
        <f t="shared" si="36"/>
        <v>1.5604166666666663</v>
      </c>
      <c r="AH26" s="89">
        <f t="shared" si="36"/>
        <v>1.5604166666666663</v>
      </c>
      <c r="AI26" s="90">
        <f t="shared" si="36"/>
        <v>1.5604166666666663</v>
      </c>
      <c r="AJ26" s="91">
        <f t="shared" si="36"/>
        <v>1.5604166666666663</v>
      </c>
      <c r="AK26" s="91">
        <f t="shared" si="36"/>
        <v>1.5604166666666663</v>
      </c>
      <c r="AL26" s="91">
        <f t="shared" si="36"/>
        <v>1.5604166666666663</v>
      </c>
      <c r="AM26" s="91">
        <f t="shared" si="36"/>
        <v>1.5604166666666663</v>
      </c>
      <c r="AN26" s="91">
        <f t="shared" si="36"/>
        <v>1.5604166666666663</v>
      </c>
      <c r="AO26" s="91">
        <f t="shared" si="36"/>
        <v>1.5604166666666663</v>
      </c>
      <c r="AP26" s="91">
        <f t="shared" si="36"/>
        <v>1.5604166666666663</v>
      </c>
      <c r="AQ26" s="91">
        <f t="shared" ref="AQ26:BR26" si="37">SUM(AQ24:AQ25)</f>
        <v>1.5604166666666663</v>
      </c>
      <c r="AR26" s="91">
        <f t="shared" si="37"/>
        <v>1.5604166666666663</v>
      </c>
      <c r="AS26" s="91">
        <f t="shared" si="37"/>
        <v>1.5604166666666663</v>
      </c>
      <c r="AT26" s="89">
        <f t="shared" si="37"/>
        <v>1.5604166666666663</v>
      </c>
      <c r="AU26" s="90">
        <f t="shared" si="37"/>
        <v>1.5604166666666663</v>
      </c>
      <c r="AV26" s="91">
        <f t="shared" si="37"/>
        <v>1.5604166666666663</v>
      </c>
      <c r="AW26" s="91">
        <f t="shared" si="37"/>
        <v>1.5604166666666663</v>
      </c>
      <c r="AX26" s="91">
        <f t="shared" si="37"/>
        <v>1.5604166666666663</v>
      </c>
      <c r="AY26" s="91">
        <f t="shared" si="37"/>
        <v>1.5604166666666663</v>
      </c>
      <c r="AZ26" s="91">
        <f t="shared" si="37"/>
        <v>1.5604166666666663</v>
      </c>
      <c r="BA26" s="91">
        <f t="shared" si="37"/>
        <v>1.5604166666666663</v>
      </c>
      <c r="BB26" s="91">
        <f t="shared" si="37"/>
        <v>1.5604166666666663</v>
      </c>
      <c r="BC26" s="91">
        <f t="shared" si="37"/>
        <v>1.5604166666666663</v>
      </c>
      <c r="BD26" s="91">
        <f t="shared" si="37"/>
        <v>1.5604166666666663</v>
      </c>
      <c r="BE26" s="91">
        <f t="shared" si="37"/>
        <v>1.5604166666666663</v>
      </c>
      <c r="BF26" s="89">
        <f t="shared" si="37"/>
        <v>1.5604166666666663</v>
      </c>
      <c r="BG26" s="90">
        <f t="shared" si="37"/>
        <v>1.5604166666666663</v>
      </c>
      <c r="BH26" s="91">
        <f t="shared" si="37"/>
        <v>1.5604166666666663</v>
      </c>
      <c r="BI26" s="91">
        <f t="shared" si="37"/>
        <v>1.5604166666666663</v>
      </c>
      <c r="BJ26" s="91">
        <f t="shared" si="37"/>
        <v>1.5604166666666663</v>
      </c>
      <c r="BK26" s="91">
        <f t="shared" si="37"/>
        <v>1.5604166666666663</v>
      </c>
      <c r="BL26" s="91">
        <f t="shared" si="37"/>
        <v>1.5604166666666663</v>
      </c>
      <c r="BM26" s="91">
        <f t="shared" si="37"/>
        <v>1.5604166666666663</v>
      </c>
      <c r="BN26" s="91">
        <f t="shared" si="37"/>
        <v>1.5604166666666663</v>
      </c>
      <c r="BO26" s="91">
        <f t="shared" si="37"/>
        <v>1.5604166666666663</v>
      </c>
      <c r="BP26" s="91">
        <f t="shared" si="37"/>
        <v>1.5604166666666663</v>
      </c>
      <c r="BQ26" s="91">
        <f t="shared" si="37"/>
        <v>1.5604166666666663</v>
      </c>
      <c r="BR26" s="89">
        <f t="shared" si="37"/>
        <v>1.5604166666666663</v>
      </c>
    </row>
    <row r="27" spans="1:70" ht="13.2" x14ac:dyDescent="0.3">
      <c r="A27" s="13"/>
      <c r="B27" s="5"/>
      <c r="C27" s="61" t="s">
        <v>47</v>
      </c>
      <c r="D27" s="14"/>
      <c r="E27" s="89">
        <f>SUM(K27:V27)</f>
        <v>218.45389659884384</v>
      </c>
      <c r="F27" s="89">
        <f>SUM(W27:AH27)</f>
        <v>241.64293057115856</v>
      </c>
      <c r="G27" s="89">
        <f t="shared" si="30"/>
        <v>286.72423949277317</v>
      </c>
      <c r="H27" s="89">
        <f t="shared" si="31"/>
        <v>313.36313962921281</v>
      </c>
      <c r="I27" s="89">
        <f t="shared" si="32"/>
        <v>341.64787047774161</v>
      </c>
      <c r="J27" s="88"/>
      <c r="K27" s="90">
        <f>Income!K22</f>
        <v>19.025000000000006</v>
      </c>
      <c r="L27" s="90">
        <f>Income!L22</f>
        <v>19.179998398370522</v>
      </c>
      <c r="M27" s="91">
        <f>Income!M22</f>
        <v>19.335787007870444</v>
      </c>
      <c r="N27" s="91">
        <f>Income!N22</f>
        <v>19.492369484091025</v>
      </c>
      <c r="O27" s="91">
        <f>Income!O22</f>
        <v>19.649749498962201</v>
      </c>
      <c r="P27" s="91">
        <f>Income!P22</f>
        <v>16.869121217014865</v>
      </c>
      <c r="Q27" s="91">
        <f>Income!Q22</f>
        <v>17.028107390691439</v>
      </c>
      <c r="R27" s="91">
        <f>Income!R22</f>
        <v>17.187902217560971</v>
      </c>
      <c r="S27" s="91">
        <f>Income!S22</f>
        <v>17.34850943563033</v>
      </c>
      <c r="T27" s="91">
        <f>Income!T22</f>
        <v>17.509932799607711</v>
      </c>
      <c r="U27" s="91">
        <f>Income!U22</f>
        <v>17.832176080976325</v>
      </c>
      <c r="V27" s="89">
        <f>Income!V22</f>
        <v>17.995243068068032</v>
      </c>
      <c r="W27" s="90">
        <f>Income!W22</f>
        <v>18.024970899470905</v>
      </c>
      <c r="X27" s="91">
        <f>Income!X22</f>
        <v>18.189696730770429</v>
      </c>
      <c r="Y27" s="91">
        <f>Income!Y22</f>
        <v>18.355257734624203</v>
      </c>
      <c r="Z27" s="91">
        <f>Income!Z22</f>
        <v>18.521657767503708</v>
      </c>
      <c r="AA27" s="91">
        <f>Income!AA22</f>
        <v>18.688900703103261</v>
      </c>
      <c r="AB27" s="91">
        <f>Income!AB22</f>
        <v>18.856990432415611</v>
      </c>
      <c r="AC27" s="91">
        <f>Income!AC22</f>
        <v>19.025930863808131</v>
      </c>
      <c r="AD27" s="91">
        <f>Income!AD22</f>
        <v>22.052868780242189</v>
      </c>
      <c r="AE27" s="91">
        <f>Income!AE22</f>
        <v>22.223522410778276</v>
      </c>
      <c r="AF27" s="91">
        <f>Income!AF22</f>
        <v>22.395038573510575</v>
      </c>
      <c r="AG27" s="91">
        <f>Income!AG22</f>
        <v>22.567421247072698</v>
      </c>
      <c r="AH27" s="89">
        <f>Income!AH22</f>
        <v>22.740674427858529</v>
      </c>
      <c r="AI27" s="90">
        <f>Income!AI22</f>
        <v>22.914802130100259</v>
      </c>
      <c r="AJ27" s="91">
        <f>Income!AJ22</f>
        <v>23.089808385946856</v>
      </c>
      <c r="AK27" s="91">
        <f>Income!AK22</f>
        <v>23.265697245542828</v>
      </c>
      <c r="AL27" s="91">
        <f>Income!AL22</f>
        <v>23.442472777107696</v>
      </c>
      <c r="AM27" s="91">
        <f>Income!AM22</f>
        <v>23.620139067014964</v>
      </c>
      <c r="AN27" s="91">
        <f>Income!AN22</f>
        <v>23.798700219872345</v>
      </c>
      <c r="AO27" s="91">
        <f>Income!AO22</f>
        <v>23.978160358601983</v>
      </c>
      <c r="AP27" s="91">
        <f>Income!AP22</f>
        <v>24.158523624520736</v>
      </c>
      <c r="AQ27" s="91">
        <f>Income!AQ22</f>
        <v>24.339794177421254</v>
      </c>
      <c r="AR27" s="91">
        <f>Income!AR22</f>
        <v>24.521976195653316</v>
      </c>
      <c r="AS27" s="91">
        <f>Income!AS22</f>
        <v>24.705073876205166</v>
      </c>
      <c r="AT27" s="89">
        <f>Income!AT22</f>
        <v>24.889091434785776</v>
      </c>
      <c r="AU27" s="90">
        <f>Income!AU22</f>
        <v>25.074033105906906</v>
      </c>
      <c r="AV27" s="91">
        <f>Income!AV22</f>
        <v>25.259903142966007</v>
      </c>
      <c r="AW27" s="91">
        <f>Income!AW22</f>
        <v>25.446705818329168</v>
      </c>
      <c r="AX27" s="91">
        <f>Income!AX22</f>
        <v>25.634445423414345</v>
      </c>
      <c r="AY27" s="91">
        <f>Income!AY22</f>
        <v>25.823126268775582</v>
      </c>
      <c r="AZ27" s="91">
        <f>Income!AZ22</f>
        <v>26.012752684186594</v>
      </c>
      <c r="BA27" s="91">
        <f>Income!BA22</f>
        <v>26.203329018725768</v>
      </c>
      <c r="BB27" s="91">
        <f>Income!BB22</f>
        <v>26.394859640860684</v>
      </c>
      <c r="BC27" s="91">
        <f>Income!BC22</f>
        <v>26.587348938533438</v>
      </c>
      <c r="BD27" s="91">
        <f>Income!BD22</f>
        <v>26.780801319246475</v>
      </c>
      <c r="BE27" s="91">
        <f>Income!BE22</f>
        <v>26.97522121014822</v>
      </c>
      <c r="BF27" s="89">
        <f>Income!BF22</f>
        <v>27.170613058119677</v>
      </c>
      <c r="BG27" s="90">
        <f>Income!BG22</f>
        <v>27.366981329861211</v>
      </c>
      <c r="BH27" s="91">
        <f>Income!BH22</f>
        <v>27.564330511979371</v>
      </c>
      <c r="BI27" s="91">
        <f>Income!BI22</f>
        <v>27.762665111074785</v>
      </c>
      <c r="BJ27" s="91">
        <f>Income!BJ22</f>
        <v>27.961989653829757</v>
      </c>
      <c r="BK27" s="91">
        <f>Income!BK22</f>
        <v>28.162308687096598</v>
      </c>
      <c r="BL27" s="91">
        <f>Income!BL22</f>
        <v>28.363626777986191</v>
      </c>
      <c r="BM27" s="91">
        <f>Income!BM22</f>
        <v>28.565948513957416</v>
      </c>
      <c r="BN27" s="91">
        <f>Income!BN22</f>
        <v>28.769278502906037</v>
      </c>
      <c r="BO27" s="91">
        <f>Income!BO22</f>
        <v>28.973621373254787</v>
      </c>
      <c r="BP27" s="91">
        <f>Income!BP22</f>
        <v>29.178981774043692</v>
      </c>
      <c r="BQ27" s="91">
        <f>Income!BQ22</f>
        <v>29.38536437502038</v>
      </c>
      <c r="BR27" s="89">
        <f>Income!BR22</f>
        <v>29.59277386673137</v>
      </c>
    </row>
    <row r="28" spans="1:70" ht="13.2" x14ac:dyDescent="0.3">
      <c r="A28" s="13"/>
      <c r="B28" s="5"/>
      <c r="C28" s="61" t="s">
        <v>72</v>
      </c>
      <c r="D28" s="14"/>
      <c r="E28" s="89">
        <f ca="1">SUM(K28:V28)</f>
        <v>17.032803840946357</v>
      </c>
      <c r="F28" s="89">
        <f ca="1">SUM(W28:AH28)</f>
        <v>16.309040062373608</v>
      </c>
      <c r="G28" s="89">
        <f ca="1">SUM(AI28:AT28)</f>
        <v>0</v>
      </c>
      <c r="H28" s="89">
        <f ca="1">SUM(AU28:BF28)</f>
        <v>0</v>
      </c>
      <c r="I28" s="89">
        <f ca="1">SUM(BG28:BR28)</f>
        <v>0</v>
      </c>
      <c r="J28" s="88"/>
      <c r="K28" s="90">
        <f ca="1">Income!K25</f>
        <v>0</v>
      </c>
      <c r="L28" s="90">
        <f ca="1">Income!L25</f>
        <v>0</v>
      </c>
      <c r="M28" s="91">
        <f ca="1">Income!M25</f>
        <v>0</v>
      </c>
      <c r="N28" s="91">
        <f ca="1">Income!N25</f>
        <v>0</v>
      </c>
      <c r="O28" s="91">
        <f ca="1">Income!O25</f>
        <v>0</v>
      </c>
      <c r="P28" s="91">
        <f ca="1">Income!P25</f>
        <v>17.032803840946357</v>
      </c>
      <c r="Q28" s="91">
        <f ca="1">Income!Q25</f>
        <v>0</v>
      </c>
      <c r="R28" s="91">
        <f ca="1">Income!R25</f>
        <v>0</v>
      </c>
      <c r="S28" s="91">
        <f ca="1">Income!S25</f>
        <v>0</v>
      </c>
      <c r="T28" s="91">
        <f ca="1">Income!T25</f>
        <v>0</v>
      </c>
      <c r="U28" s="91">
        <f ca="1">Income!U25</f>
        <v>0</v>
      </c>
      <c r="V28" s="89">
        <f ca="1">Income!V25</f>
        <v>0</v>
      </c>
      <c r="W28" s="90">
        <f ca="1">Income!W25</f>
        <v>16.309040062373608</v>
      </c>
      <c r="X28" s="91">
        <f ca="1">Income!X25</f>
        <v>0</v>
      </c>
      <c r="Y28" s="91">
        <f ca="1">Income!Y25</f>
        <v>0</v>
      </c>
      <c r="Z28" s="91">
        <f ca="1">Income!Z25</f>
        <v>0</v>
      </c>
      <c r="AA28" s="91">
        <f ca="1">Income!AA25</f>
        <v>0</v>
      </c>
      <c r="AB28" s="91">
        <f ca="1">Income!AB25</f>
        <v>0</v>
      </c>
      <c r="AC28" s="91">
        <f ca="1">Income!AC25</f>
        <v>0</v>
      </c>
      <c r="AD28" s="91">
        <f ca="1">Income!AD25</f>
        <v>0</v>
      </c>
      <c r="AE28" s="91">
        <f ca="1">Income!AE25</f>
        <v>0</v>
      </c>
      <c r="AF28" s="91">
        <f ca="1">Income!AF25</f>
        <v>0</v>
      </c>
      <c r="AG28" s="91">
        <f ca="1">Income!AG25</f>
        <v>0</v>
      </c>
      <c r="AH28" s="89">
        <f ca="1">Income!AH25</f>
        <v>0</v>
      </c>
      <c r="AI28" s="90">
        <f ca="1">Income!AI25</f>
        <v>0</v>
      </c>
      <c r="AJ28" s="91">
        <f ca="1">Income!AJ25</f>
        <v>0</v>
      </c>
      <c r="AK28" s="91">
        <f ca="1">Income!AK25</f>
        <v>0</v>
      </c>
      <c r="AL28" s="91">
        <f ca="1">Income!AL25</f>
        <v>0</v>
      </c>
      <c r="AM28" s="91">
        <f ca="1">Income!AM25</f>
        <v>0</v>
      </c>
      <c r="AN28" s="91">
        <f ca="1">Income!AN25</f>
        <v>0</v>
      </c>
      <c r="AO28" s="91">
        <f ca="1">Income!AO25</f>
        <v>0</v>
      </c>
      <c r="AP28" s="91">
        <f ca="1">Income!AP25</f>
        <v>0</v>
      </c>
      <c r="AQ28" s="91">
        <f ca="1">Income!AQ25</f>
        <v>0</v>
      </c>
      <c r="AR28" s="91">
        <f ca="1">Income!AR25</f>
        <v>0</v>
      </c>
      <c r="AS28" s="91">
        <f ca="1">Income!AS25</f>
        <v>0</v>
      </c>
      <c r="AT28" s="89">
        <f ca="1">Income!AT25</f>
        <v>0</v>
      </c>
      <c r="AU28" s="90">
        <f ca="1">Income!AU25</f>
        <v>0</v>
      </c>
      <c r="AV28" s="91">
        <f ca="1">Income!AV25</f>
        <v>0</v>
      </c>
      <c r="AW28" s="91">
        <f ca="1">Income!AW25</f>
        <v>0</v>
      </c>
      <c r="AX28" s="91">
        <f ca="1">Income!AX25</f>
        <v>0</v>
      </c>
      <c r="AY28" s="91">
        <f ca="1">Income!AY25</f>
        <v>0</v>
      </c>
      <c r="AZ28" s="91">
        <f ca="1">Income!AZ25</f>
        <v>0</v>
      </c>
      <c r="BA28" s="91">
        <f ca="1">Income!BA25</f>
        <v>0</v>
      </c>
      <c r="BB28" s="91">
        <f ca="1">Income!BB25</f>
        <v>0</v>
      </c>
      <c r="BC28" s="91">
        <f ca="1">Income!BC25</f>
        <v>0</v>
      </c>
      <c r="BD28" s="91">
        <f ca="1">Income!BD25</f>
        <v>0</v>
      </c>
      <c r="BE28" s="91">
        <f ca="1">Income!BE25</f>
        <v>0</v>
      </c>
      <c r="BF28" s="89">
        <f ca="1">Income!BF25</f>
        <v>0</v>
      </c>
      <c r="BG28" s="90">
        <f ca="1">Income!BG25</f>
        <v>0</v>
      </c>
      <c r="BH28" s="91">
        <f ca="1">Income!BH25</f>
        <v>0</v>
      </c>
      <c r="BI28" s="91">
        <f ca="1">Income!BI25</f>
        <v>0</v>
      </c>
      <c r="BJ28" s="91">
        <f ca="1">Income!BJ25</f>
        <v>0</v>
      </c>
      <c r="BK28" s="91">
        <f ca="1">Income!BK25</f>
        <v>0</v>
      </c>
      <c r="BL28" s="91">
        <f ca="1">Income!BL25</f>
        <v>0</v>
      </c>
      <c r="BM28" s="91">
        <f ca="1">Income!BM25</f>
        <v>0</v>
      </c>
      <c r="BN28" s="91">
        <f ca="1">Income!BN25</f>
        <v>0</v>
      </c>
      <c r="BO28" s="91">
        <f ca="1">Income!BO25</f>
        <v>0</v>
      </c>
      <c r="BP28" s="91">
        <f ca="1">Income!BP25</f>
        <v>0</v>
      </c>
      <c r="BQ28" s="91">
        <f ca="1">Income!BQ25</f>
        <v>0</v>
      </c>
      <c r="BR28" s="89">
        <f ca="1">Income!BR25</f>
        <v>0</v>
      </c>
    </row>
    <row r="29" spans="1:70" ht="13.2" hidden="1" x14ac:dyDescent="0.3">
      <c r="A29" s="14"/>
      <c r="B29" s="34"/>
      <c r="C29" s="56" t="s">
        <v>70</v>
      </c>
      <c r="D29" s="14"/>
      <c r="E29" s="90">
        <f>V29</f>
        <v>27.508380808170429</v>
      </c>
      <c r="F29" s="90">
        <f>AH29</f>
        <v>28.971128041620744</v>
      </c>
      <c r="G29" s="90">
        <f>AT29</f>
        <v>30.511656278754565</v>
      </c>
      <c r="H29" s="90">
        <f>BF29</f>
        <v>32.134101493577219</v>
      </c>
      <c r="I29" s="90">
        <f>BR29</f>
        <v>33.842819588870611</v>
      </c>
      <c r="J29" s="113"/>
      <c r="K29" s="90">
        <f t="shared" ref="K29:AP29" si="38">K20*InventoryPct</f>
        <v>26.232499999999998</v>
      </c>
      <c r="L29" s="91">
        <f t="shared" si="38"/>
        <v>26.346001548473474</v>
      </c>
      <c r="M29" s="91">
        <f t="shared" si="38"/>
        <v>26.459994190114049</v>
      </c>
      <c r="N29" s="91">
        <f t="shared" si="38"/>
        <v>26.57448004976057</v>
      </c>
      <c r="O29" s="91">
        <f t="shared" si="38"/>
        <v>26.689461261445519</v>
      </c>
      <c r="P29" s="91">
        <f t="shared" si="38"/>
        <v>26.804939968434827</v>
      </c>
      <c r="Q29" s="90">
        <f t="shared" si="38"/>
        <v>26.920918323267802</v>
      </c>
      <c r="R29" s="90">
        <f t="shared" si="38"/>
        <v>27.037398487797265</v>
      </c>
      <c r="S29" s="90">
        <f t="shared" si="38"/>
        <v>27.154382633229819</v>
      </c>
      <c r="T29" s="90">
        <f t="shared" si="38"/>
        <v>27.271872940166361</v>
      </c>
      <c r="U29" s="90">
        <f t="shared" si="38"/>
        <v>27.389871598642717</v>
      </c>
      <c r="V29" s="90">
        <f t="shared" si="38"/>
        <v>27.508380808170429</v>
      </c>
      <c r="W29" s="90">
        <f t="shared" si="38"/>
        <v>27.627402777777807</v>
      </c>
      <c r="X29" s="91">
        <f t="shared" si="38"/>
        <v>27.746939726051071</v>
      </c>
      <c r="Y29" s="91">
        <f t="shared" si="38"/>
        <v>27.866993881175706</v>
      </c>
      <c r="Z29" s="91">
        <f t="shared" si="38"/>
        <v>27.987567480978029</v>
      </c>
      <c r="AA29" s="91">
        <f t="shared" si="38"/>
        <v>28.108662772966856</v>
      </c>
      <c r="AB29" s="91">
        <f t="shared" si="38"/>
        <v>28.230282014375423</v>
      </c>
      <c r="AC29" s="90">
        <f t="shared" si="38"/>
        <v>28.352427472203477</v>
      </c>
      <c r="AD29" s="90">
        <f t="shared" si="38"/>
        <v>28.475101423259495</v>
      </c>
      <c r="AE29" s="90">
        <f t="shared" si="38"/>
        <v>28.598306154203133</v>
      </c>
      <c r="AF29" s="90">
        <f t="shared" si="38"/>
        <v>28.7220439615879</v>
      </c>
      <c r="AG29" s="90">
        <f t="shared" si="38"/>
        <v>28.846317151903861</v>
      </c>
      <c r="AH29" s="90">
        <f t="shared" si="38"/>
        <v>28.971128041620744</v>
      </c>
      <c r="AI29" s="90">
        <f t="shared" si="38"/>
        <v>29.096478957231049</v>
      </c>
      <c r="AJ29" s="91">
        <f t="shared" si="38"/>
        <v>29.222372235293442</v>
      </c>
      <c r="AK29" s="91">
        <f t="shared" si="38"/>
        <v>29.348810222476292</v>
      </c>
      <c r="AL29" s="91">
        <f t="shared" si="38"/>
        <v>29.475795275601445</v>
      </c>
      <c r="AM29" s="91">
        <f t="shared" si="38"/>
        <v>29.603329761688098</v>
      </c>
      <c r="AN29" s="91">
        <f t="shared" si="38"/>
        <v>29.731416057996977</v>
      </c>
      <c r="AO29" s="90">
        <f t="shared" si="38"/>
        <v>29.860056552074621</v>
      </c>
      <c r="AP29" s="90">
        <f t="shared" si="38"/>
        <v>29.989253641797902</v>
      </c>
      <c r="AQ29" s="90">
        <f t="shared" ref="AQ29:BR29" si="39">AQ20*InventoryPct</f>
        <v>30.119009735418718</v>
      </c>
      <c r="AR29" s="90">
        <f t="shared" si="39"/>
        <v>30.249327251608854</v>
      </c>
      <c r="AS29" s="90">
        <f t="shared" si="39"/>
        <v>30.380208619505112</v>
      </c>
      <c r="AT29" s="90">
        <f t="shared" si="39"/>
        <v>30.511656278754565</v>
      </c>
      <c r="AU29" s="90">
        <f t="shared" si="39"/>
        <v>30.643672679560023</v>
      </c>
      <c r="AV29" s="91">
        <f t="shared" si="39"/>
        <v>30.776260282725737</v>
      </c>
      <c r="AW29" s="91">
        <f t="shared" si="39"/>
        <v>30.90942155970324</v>
      </c>
      <c r="AX29" s="91">
        <f t="shared" si="39"/>
        <v>31.043158992637419</v>
      </c>
      <c r="AY29" s="91">
        <f t="shared" si="39"/>
        <v>31.177475074412801</v>
      </c>
      <c r="AZ29" s="91">
        <f t="shared" si="39"/>
        <v>31.312372308699992</v>
      </c>
      <c r="BA29" s="90">
        <f t="shared" si="39"/>
        <v>31.447853210002407</v>
      </c>
      <c r="BB29" s="90">
        <f t="shared" si="39"/>
        <v>31.583920303703035</v>
      </c>
      <c r="BC29" s="90">
        <f t="shared" si="39"/>
        <v>31.720576126111624</v>
      </c>
      <c r="BD29" s="90">
        <f t="shared" si="39"/>
        <v>31.857823224511865</v>
      </c>
      <c r="BE29" s="90">
        <f t="shared" si="39"/>
        <v>31.99566415720895</v>
      </c>
      <c r="BF29" s="90">
        <f t="shared" si="39"/>
        <v>32.134101493577219</v>
      </c>
      <c r="BG29" s="90">
        <f t="shared" si="39"/>
        <v>32.273137814108026</v>
      </c>
      <c r="BH29" s="91">
        <f t="shared" si="39"/>
        <v>32.412775710457936</v>
      </c>
      <c r="BI29" s="91">
        <f t="shared" si="39"/>
        <v>32.553017785496934</v>
      </c>
      <c r="BJ29" s="91">
        <f t="shared" si="39"/>
        <v>32.693866653356991</v>
      </c>
      <c r="BK29" s="91">
        <f t="shared" si="39"/>
        <v>32.835324939480749</v>
      </c>
      <c r="BL29" s="91">
        <f t="shared" si="39"/>
        <v>32.977395280670528</v>
      </c>
      <c r="BM29" s="90">
        <f t="shared" si="39"/>
        <v>33.12008032513743</v>
      </c>
      <c r="BN29" s="90">
        <f t="shared" si="39"/>
        <v>33.263382732550717</v>
      </c>
      <c r="BO29" s="90">
        <f t="shared" si="39"/>
        <v>33.407305174087384</v>
      </c>
      <c r="BP29" s="90">
        <f t="shared" si="39"/>
        <v>33.551850332481941</v>
      </c>
      <c r="BQ29" s="90">
        <f t="shared" si="39"/>
        <v>33.697020902076403</v>
      </c>
      <c r="BR29" s="90">
        <f t="shared" si="39"/>
        <v>33.842819588870611</v>
      </c>
    </row>
    <row r="30" spans="1:70" ht="13.2" x14ac:dyDescent="0.3">
      <c r="A30" s="13"/>
      <c r="B30" s="5"/>
      <c r="C30" s="61" t="s">
        <v>194</v>
      </c>
      <c r="D30" s="14"/>
      <c r="E30" s="89">
        <f>SUM(K30:V30)</f>
        <v>90.124347957498898</v>
      </c>
      <c r="F30" s="89">
        <f>SUM(W30:AH30)</f>
        <v>11.299571312880847</v>
      </c>
      <c r="G30" s="89">
        <f>SUM(AI30:AT30)</f>
        <v>12.673257255385241</v>
      </c>
      <c r="H30" s="89">
        <f>SUM(AU30:BF30)</f>
        <v>14.211114514477796</v>
      </c>
      <c r="I30" s="89">
        <f>SUM(BG30:BR30)</f>
        <v>15.9325692090177</v>
      </c>
      <c r="J30" s="88"/>
      <c r="K30" s="90">
        <f>-(-Balance!K8+Balance!K21)</f>
        <v>80.847499999999997</v>
      </c>
      <c r="L30" s="90">
        <f>-((Balance!K8-Balance!L8)+(Balance!L21-Balance!K21))</f>
        <v>0.80350055504494122</v>
      </c>
      <c r="M30" s="91">
        <f>-((Balance!L8-Balance!M8)+(Balance!M21-Balance!L21))</f>
        <v>0.81124604034317471</v>
      </c>
      <c r="N30" s="91">
        <f>-((Balance!M8-Balance!N8)+(Balance!N21-Balance!M21))</f>
        <v>0.81906491947431448</v>
      </c>
      <c r="O30" s="91">
        <f>-((Balance!N8-Balance!O8)+(Balance!O21-Balance!N21))</f>
        <v>0.82695788087934119</v>
      </c>
      <c r="P30" s="91">
        <f>-((Balance!O8-Balance!P8)+(Balance!P21-Balance!O21))</f>
        <v>0.83492561941670118</v>
      </c>
      <c r="Q30" s="91">
        <f>-((Balance!P8-Balance!Q8)+(Balance!Q21-Balance!P21))</f>
        <v>0.84296883642218035</v>
      </c>
      <c r="R30" s="91">
        <f>-((Balance!Q8-Balance!R8)+(Balance!R21-Balance!Q21))</f>
        <v>0.85108823976910131</v>
      </c>
      <c r="S30" s="91">
        <f>-((Balance!R8-Balance!S8)+(Balance!S21-Balance!R21))</f>
        <v>0.85928454392864495</v>
      </c>
      <c r="T30" s="91">
        <f>-((Balance!S8-Balance!T8)+(Balance!T21-Balance!S21))</f>
        <v>0.86755847003161435</v>
      </c>
      <c r="U30" s="91">
        <f>-((Balance!T8-Balance!U8)+(Balance!U21-Balance!T21))</f>
        <v>0.8759107459298896</v>
      </c>
      <c r="V30" s="89">
        <f>-((Balance!U8-Balance!V8)+(Balance!V21-Balance!U21))</f>
        <v>0.88434210625899468</v>
      </c>
      <c r="W30" s="90">
        <f>-((Balance!V8-Balance!W8)+(Balance!W21-Balance!V21))</f>
        <v>0.89285329250111545</v>
      </c>
      <c r="X30" s="91">
        <f>-((Balance!W8-Balance!X8)+(Balance!X21-Balance!W21))</f>
        <v>0.90144505304844458</v>
      </c>
      <c r="Y30" s="91">
        <f>-((Balance!X8-Balance!Y8)+(Balance!Y21-Balance!X21))</f>
        <v>0.91011814326772367</v>
      </c>
      <c r="Z30" s="91">
        <f>-((Balance!Y8-Balance!Z8)+(Balance!Z21-Balance!Y21))</f>
        <v>0.91887332556443013</v>
      </c>
      <c r="AA30" s="91">
        <f>-((Balance!Z8-Balance!AA8)+(Balance!AA21-Balance!Z21))</f>
        <v>0.92771136944888255</v>
      </c>
      <c r="AB30" s="91">
        <f>-((Balance!AA8-Balance!AB8)+(Balance!AB21-Balance!AA21))</f>
        <v>0.93663305160133703</v>
      </c>
      <c r="AC30" s="91">
        <f>-((Balance!AB8-Balance!AC8)+(Balance!AC21-Balance!AB21))</f>
        <v>0.94563915593929693</v>
      </c>
      <c r="AD30" s="91">
        <f>-((Balance!AC8-Balance!AD8)+(Balance!AD21-Balance!AC21))</f>
        <v>0.95473047368421859</v>
      </c>
      <c r="AE30" s="91">
        <f>-((Balance!AD8-Balance!AE8)+(Balance!AE21-Balance!AD21))</f>
        <v>0.96390780342940729</v>
      </c>
      <c r="AF30" s="91">
        <f>-((Balance!AE8-Balance!AF8)+(Balance!AF21-Balance!AE21))</f>
        <v>0.97317195120887945</v>
      </c>
      <c r="AG30" s="91">
        <f>-((Balance!AF8-Balance!AG8)+(Balance!AG21-Balance!AF21))</f>
        <v>0.9825237305654646</v>
      </c>
      <c r="AH30" s="89">
        <f>-((Balance!AG8-Balance!AH8)+(Balance!AH21-Balance!AG21))</f>
        <v>0.99196396262164654</v>
      </c>
      <c r="AI30" s="90">
        <f>-((Balance!AH8-Balance!AI8)+(Balance!AI21-Balance!AH21))</f>
        <v>1.0014934761490899</v>
      </c>
      <c r="AJ30" s="91">
        <f>-((Balance!AI8-Balance!AJ8)+(Balance!AJ21-Balance!AI21))</f>
        <v>1.0111131076399822</v>
      </c>
      <c r="AK30" s="91">
        <f>-((Balance!AJ8-Balance!AK8)+(Balance!AK21-Balance!AJ21))</f>
        <v>1.0208237013785855</v>
      </c>
      <c r="AL30" s="91">
        <f>-((Balance!AK8-Balance!AL8)+(Balance!AL21-Balance!AK21))</f>
        <v>1.0306261095138609</v>
      </c>
      <c r="AM30" s="91">
        <f>-((Balance!AL8-Balance!AM8)+(Balance!AM21-Balance!AL21))</f>
        <v>1.040521192131699</v>
      </c>
      <c r="AN30" s="91">
        <f>-((Balance!AM8-Balance!AN8)+(Balance!AN21-Balance!AM21))</f>
        <v>1.0505098173295124</v>
      </c>
      <c r="AO30" s="91">
        <f>-((Balance!AN8-Balance!AO8)+(Balance!AO21-Balance!AN21))</f>
        <v>1.0605928612900648</v>
      </c>
      <c r="AP30" s="91">
        <f>-((Balance!AO8-Balance!AP8)+(Balance!AP21-Balance!AO21))</f>
        <v>1.0707712083565681</v>
      </c>
      <c r="AQ30" s="91">
        <f>-((Balance!AP8-Balance!AQ8)+(Balance!AQ21-Balance!AP21))</f>
        <v>1.0810457511083165</v>
      </c>
      <c r="AR30" s="91">
        <f>-((Balance!AQ8-Balance!AR8)+(Balance!AR21-Balance!AQ21))</f>
        <v>1.0914173904376625</v>
      </c>
      <c r="AS30" s="91">
        <f>-((Balance!AR8-Balance!AS8)+(Balance!AS21-Balance!AR21))</f>
        <v>1.1018870356262127</v>
      </c>
      <c r="AT30" s="89">
        <f>-((Balance!AS8-Balance!AT8)+(Balance!AT21-Balance!AS21))</f>
        <v>1.1124556044236869</v>
      </c>
      <c r="AU30" s="90">
        <f>-((Balance!AT8-Balance!AU8)+(Balance!AU21-Balance!AT21))</f>
        <v>1.1231240231257225</v>
      </c>
      <c r="AV30" s="91">
        <f>-((Balance!AU8-Balance!AV8)+(Balance!AV21-Balance!AU21))</f>
        <v>1.1338932266536403</v>
      </c>
      <c r="AW30" s="91">
        <f>-((Balance!AV8-Balance!AW8)+(Balance!AW21-Balance!AV21))</f>
        <v>1.1447641586343664</v>
      </c>
      <c r="AX30" s="91">
        <f>-((Balance!AW8-Balance!AX8)+(Balance!AX21-Balance!AW21))</f>
        <v>1.155737771480883</v>
      </c>
      <c r="AY30" s="91">
        <f>-((Balance!AX8-Balance!AY8)+(Balance!AY21-Balance!AX21))</f>
        <v>1.1668150264745627</v>
      </c>
      <c r="AZ30" s="91">
        <f>-((Balance!AY8-Balance!AZ8)+(Balance!AZ21-Balance!AY21))</f>
        <v>1.1779968938463199</v>
      </c>
      <c r="BA30" s="91">
        <f>-((Balance!AZ8-Balance!BA8)+(Balance!BA21-Balance!AZ21))</f>
        <v>1.1892843528608985</v>
      </c>
      <c r="BB30" s="91">
        <f>-((Balance!BA8-Balance!BB8)+(Balance!BB21-Balance!BA21))</f>
        <v>1.2006783918994977</v>
      </c>
      <c r="BC30" s="91">
        <f>-((Balance!BB8-Balance!BC8)+(Balance!BC21-Balance!BB21))</f>
        <v>1.2121800085451078</v>
      </c>
      <c r="BD30" s="91">
        <f>-((Balance!BC8-Balance!BD8)+(Balance!BD21-Balance!BC21))</f>
        <v>1.2237902096680315</v>
      </c>
      <c r="BE30" s="91">
        <f>-((Balance!BD8-Balance!BE8)+(Balance!BE21-Balance!BD21))</f>
        <v>1.23551001151111</v>
      </c>
      <c r="BF30" s="89">
        <f>-((Balance!BE8-Balance!BF8)+(Balance!BF21-Balance!BE21))</f>
        <v>1.2473404397776555</v>
      </c>
      <c r="BG30" s="90">
        <f>-((Balance!BF8-Balance!BG8)+(Balance!BG21-Balance!BF21))</f>
        <v>1.2592825297188917</v>
      </c>
      <c r="BH30" s="91">
        <f>-((Balance!BG8-Balance!BH8)+(Balance!BH21-Balance!BG21))</f>
        <v>1.271337326222131</v>
      </c>
      <c r="BI30" s="91">
        <f>-((Balance!BH8-Balance!BI8)+(Balance!BI21-Balance!BH21))</f>
        <v>1.2835058839008546</v>
      </c>
      <c r="BJ30" s="91">
        <f>-((Balance!BI8-Balance!BJ8)+(Balance!BJ21-Balance!BI21))</f>
        <v>1.2957892671844107</v>
      </c>
      <c r="BK30" s="91">
        <f>-((Balance!BJ8-Balance!BK8)+(Balance!BK21-Balance!BJ21))</f>
        <v>1.3081885504092838</v>
      </c>
      <c r="BL30" s="91">
        <f>-((Balance!BK8-Balance!BL8)+(Balance!BL21-Balance!BK21))</f>
        <v>1.3207048179109684</v>
      </c>
      <c r="BM30" s="91">
        <f>-((Balance!BL8-Balance!BM8)+(Balance!BM21-Balance!BL21))</f>
        <v>1.3333391641169712</v>
      </c>
      <c r="BN30" s="91">
        <f>-((Balance!BM8-Balance!BN8)+(Balance!BN21-Balance!BM21))</f>
        <v>1.3460926936396618</v>
      </c>
      <c r="BO30" s="91">
        <f>-((Balance!BN8-Balance!BO8)+(Balance!BO21-Balance!BN21))</f>
        <v>1.3589665213717055</v>
      </c>
      <c r="BP30" s="91">
        <f>-((Balance!BO8-Balance!BP8)+(Balance!BP21-Balance!BO21))</f>
        <v>1.3719617725808817</v>
      </c>
      <c r="BQ30" s="91">
        <f>-((Balance!BP8-Balance!BQ8)+(Balance!BQ21-Balance!BP21))</f>
        <v>1.3850795830062239</v>
      </c>
      <c r="BR30" s="89">
        <f>-((Balance!BQ8-Balance!BR8)+(Balance!BR21-Balance!BQ21))</f>
        <v>1.3983210989557158</v>
      </c>
    </row>
    <row r="31" spans="1:70" ht="13.2" x14ac:dyDescent="0.3">
      <c r="B31" s="34"/>
      <c r="C31" s="82" t="s">
        <v>127</v>
      </c>
      <c r="D31" s="14"/>
      <c r="E31" s="100">
        <f>SUM(K31:V31)</f>
        <v>154</v>
      </c>
      <c r="F31" s="100">
        <f>SUM(W31:AH31)</f>
        <v>0</v>
      </c>
      <c r="G31" s="100">
        <f>SUM(AI31:AT31)</f>
        <v>0</v>
      </c>
      <c r="H31" s="100">
        <f>SUM(AU31:BF31)</f>
        <v>0</v>
      </c>
      <c r="I31" s="100">
        <f>SUM(BG31:BR31)</f>
        <v>0</v>
      </c>
      <c r="J31" s="113"/>
      <c r="K31" s="109">
        <f>CapEx!K11</f>
        <v>4</v>
      </c>
      <c r="L31" s="109">
        <f>CapEx!L11</f>
        <v>0</v>
      </c>
      <c r="M31" s="110">
        <f>CapEx!M11</f>
        <v>50</v>
      </c>
      <c r="N31" s="110">
        <f>CapEx!N11</f>
        <v>0</v>
      </c>
      <c r="O31" s="110">
        <f>CapEx!O11</f>
        <v>0</v>
      </c>
      <c r="P31" s="110">
        <f>CapEx!P11</f>
        <v>100</v>
      </c>
      <c r="Q31" s="109">
        <f>CapEx!Q11</f>
        <v>0</v>
      </c>
      <c r="R31" s="109">
        <f>CapEx!R11</f>
        <v>0</v>
      </c>
      <c r="S31" s="109">
        <f>CapEx!S11</f>
        <v>0</v>
      </c>
      <c r="T31" s="109">
        <f>CapEx!T11</f>
        <v>0</v>
      </c>
      <c r="U31" s="109">
        <f>CapEx!U11</f>
        <v>0</v>
      </c>
      <c r="V31" s="100">
        <f>CapEx!V11</f>
        <v>0</v>
      </c>
      <c r="W31" s="109">
        <f>CapEx!W11</f>
        <v>0</v>
      </c>
      <c r="X31" s="110">
        <f>CapEx!X11</f>
        <v>0</v>
      </c>
      <c r="Y31" s="110">
        <f>CapEx!Y11</f>
        <v>0</v>
      </c>
      <c r="Z31" s="110">
        <f>CapEx!Z11</f>
        <v>0</v>
      </c>
      <c r="AA31" s="110">
        <f>CapEx!AA11</f>
        <v>0</v>
      </c>
      <c r="AB31" s="110">
        <f>CapEx!AB11</f>
        <v>0</v>
      </c>
      <c r="AC31" s="109">
        <f>CapEx!AC11</f>
        <v>0</v>
      </c>
      <c r="AD31" s="109">
        <f>CapEx!AD11</f>
        <v>0</v>
      </c>
      <c r="AE31" s="109">
        <f>CapEx!AE11</f>
        <v>0</v>
      </c>
      <c r="AF31" s="109">
        <f>CapEx!AF11</f>
        <v>0</v>
      </c>
      <c r="AG31" s="109">
        <f>CapEx!AG11</f>
        <v>0</v>
      </c>
      <c r="AH31" s="100">
        <f>CapEx!AH11</f>
        <v>0</v>
      </c>
      <c r="AI31" s="109">
        <f>CapEx!AI11</f>
        <v>0</v>
      </c>
      <c r="AJ31" s="110">
        <f>CapEx!AJ11</f>
        <v>0</v>
      </c>
      <c r="AK31" s="110">
        <f>CapEx!AK11</f>
        <v>0</v>
      </c>
      <c r="AL31" s="110">
        <f>CapEx!AL11</f>
        <v>0</v>
      </c>
      <c r="AM31" s="110">
        <f>CapEx!AM11</f>
        <v>0</v>
      </c>
      <c r="AN31" s="110">
        <f>CapEx!AN11</f>
        <v>0</v>
      </c>
      <c r="AO31" s="109">
        <f>CapEx!AO11</f>
        <v>0</v>
      </c>
      <c r="AP31" s="109">
        <f>CapEx!AP11</f>
        <v>0</v>
      </c>
      <c r="AQ31" s="109">
        <f>CapEx!AQ11</f>
        <v>0</v>
      </c>
      <c r="AR31" s="109">
        <f>CapEx!AR11</f>
        <v>0</v>
      </c>
      <c r="AS31" s="109">
        <f>CapEx!AS11</f>
        <v>0</v>
      </c>
      <c r="AT31" s="100">
        <f>CapEx!AT11</f>
        <v>0</v>
      </c>
      <c r="AU31" s="109">
        <f>CapEx!AU11</f>
        <v>0</v>
      </c>
      <c r="AV31" s="110">
        <f>CapEx!AV11</f>
        <v>0</v>
      </c>
      <c r="AW31" s="110">
        <f>CapEx!AW11</f>
        <v>0</v>
      </c>
      <c r="AX31" s="110">
        <f>CapEx!AX11</f>
        <v>0</v>
      </c>
      <c r="AY31" s="110">
        <f>CapEx!AY11</f>
        <v>0</v>
      </c>
      <c r="AZ31" s="110">
        <f>CapEx!AZ11</f>
        <v>0</v>
      </c>
      <c r="BA31" s="109">
        <f>CapEx!BA11</f>
        <v>0</v>
      </c>
      <c r="BB31" s="109">
        <f>CapEx!BB11</f>
        <v>0</v>
      </c>
      <c r="BC31" s="109">
        <f>CapEx!BC11</f>
        <v>0</v>
      </c>
      <c r="BD31" s="109">
        <f>CapEx!BD11</f>
        <v>0</v>
      </c>
      <c r="BE31" s="109">
        <f>CapEx!BE11</f>
        <v>0</v>
      </c>
      <c r="BF31" s="100">
        <f>CapEx!BF11</f>
        <v>0</v>
      </c>
      <c r="BG31" s="109">
        <f>CapEx!BG11</f>
        <v>0</v>
      </c>
      <c r="BH31" s="110">
        <f>CapEx!BH11</f>
        <v>0</v>
      </c>
      <c r="BI31" s="110">
        <f>CapEx!BI11</f>
        <v>0</v>
      </c>
      <c r="BJ31" s="110">
        <f>CapEx!BJ11</f>
        <v>0</v>
      </c>
      <c r="BK31" s="110">
        <f>CapEx!BK11</f>
        <v>0</v>
      </c>
      <c r="BL31" s="110">
        <f>CapEx!BL11</f>
        <v>0</v>
      </c>
      <c r="BM31" s="109">
        <f>CapEx!BM11</f>
        <v>0</v>
      </c>
      <c r="BN31" s="109">
        <f>CapEx!BN11</f>
        <v>0</v>
      </c>
      <c r="BO31" s="109">
        <f>CapEx!BO11</f>
        <v>0</v>
      </c>
      <c r="BP31" s="109">
        <f>CapEx!BP11</f>
        <v>0</v>
      </c>
      <c r="BQ31" s="109">
        <f>CapEx!BQ11</f>
        <v>0</v>
      </c>
      <c r="BR31" s="100">
        <f>CapEx!BR11</f>
        <v>0</v>
      </c>
    </row>
    <row r="32" spans="1:70" s="75" customFormat="1" ht="13.2" x14ac:dyDescent="0.3">
      <c r="A32" s="134"/>
      <c r="C32" s="49" t="s">
        <v>105</v>
      </c>
      <c r="D32" s="49"/>
      <c r="E32" s="96">
        <f ca="1">SUM(K32:V32)</f>
        <v>5484.5474103764118</v>
      </c>
      <c r="F32" s="96">
        <f ca="1">SUM(W32:AH32)</f>
        <v>5701.651956075335</v>
      </c>
      <c r="G32" s="96">
        <f ca="1">SUM(AI32:AT32)</f>
        <v>5992.7422723963036</v>
      </c>
      <c r="H32" s="96">
        <f ca="1">SUM(AU32:BF32)</f>
        <v>6295.1792477709478</v>
      </c>
      <c r="I32" s="96">
        <f ca="1">SUM(BG32:BR32)</f>
        <v>6613.4560351299333</v>
      </c>
      <c r="J32" s="133"/>
      <c r="K32" s="97">
        <f ca="1">SUM(K17:K18,K23,K26:K28,K30:K31)</f>
        <v>352.02666666666664</v>
      </c>
      <c r="L32" s="97">
        <f t="shared" ref="L32:BR32" ca="1" si="40">SUM(L17:L18,L23,L26:L28,L30:L31)</f>
        <v>443.91472663786544</v>
      </c>
      <c r="M32" s="97">
        <f t="shared" ca="1" si="40"/>
        <v>495.73223341753561</v>
      </c>
      <c r="N32" s="97">
        <f t="shared" ca="1" si="40"/>
        <v>447.55746426934888</v>
      </c>
      <c r="O32" s="97">
        <f t="shared" ca="1" si="40"/>
        <v>449.39045262874464</v>
      </c>
      <c r="P32" s="97">
        <f t="shared" ca="1" si="40"/>
        <v>565.52939306228723</v>
      </c>
      <c r="Q32" s="97">
        <f t="shared" ca="1" si="40"/>
        <v>450.34519349217186</v>
      </c>
      <c r="R32" s="97">
        <f t="shared" ca="1" si="40"/>
        <v>452.20165646350398</v>
      </c>
      <c r="S32" s="97">
        <f t="shared" ca="1" si="40"/>
        <v>454.06601216407859</v>
      </c>
      <c r="T32" s="97">
        <f t="shared" ca="1" si="40"/>
        <v>455.93829477264728</v>
      </c>
      <c r="U32" s="97">
        <f t="shared" ca="1" si="40"/>
        <v>457.97853861865224</v>
      </c>
      <c r="V32" s="96">
        <f t="shared" ca="1" si="40"/>
        <v>459.86677818290877</v>
      </c>
      <c r="W32" s="97">
        <f t="shared" ca="1" si="40"/>
        <v>478.27333816066681</v>
      </c>
      <c r="X32" s="97">
        <f t="shared" ca="1" si="40"/>
        <v>463.868633150432</v>
      </c>
      <c r="Y32" s="97">
        <f t="shared" ca="1" si="40"/>
        <v>465.78106827839537</v>
      </c>
      <c r="Z32" s="97">
        <f t="shared" ca="1" si="40"/>
        <v>467.70163857539364</v>
      </c>
      <c r="AA32" s="97">
        <f t="shared" ca="1" si="40"/>
        <v>469.63037928947784</v>
      </c>
      <c r="AB32" s="97">
        <f t="shared" ca="1" si="40"/>
        <v>471.56732582424206</v>
      </c>
      <c r="AC32" s="97">
        <f t="shared" ca="1" si="40"/>
        <v>473.51251373953073</v>
      </c>
      <c r="AD32" s="97">
        <f t="shared" ca="1" si="40"/>
        <v>478.32312160929138</v>
      </c>
      <c r="AE32" s="97">
        <f t="shared" ca="1" si="40"/>
        <v>480.28489959371632</v>
      </c>
      <c r="AF32" s="97">
        <f t="shared" ca="1" si="40"/>
        <v>482.25502658281732</v>
      </c>
      <c r="AG32" s="97">
        <f t="shared" ca="1" si="40"/>
        <v>484.23353876857323</v>
      </c>
      <c r="AH32" s="96">
        <f t="shared" ca="1" si="40"/>
        <v>486.2204725027982</v>
      </c>
      <c r="AI32" s="97">
        <f t="shared" ca="1" si="40"/>
        <v>488.21586429786731</v>
      </c>
      <c r="AJ32" s="97">
        <f t="shared" ca="1" si="40"/>
        <v>490.21975082744831</v>
      </c>
      <c r="AK32" s="97">
        <f t="shared" ca="1" si="40"/>
        <v>492.23216892723508</v>
      </c>
      <c r="AL32" s="97">
        <f t="shared" ca="1" si="40"/>
        <v>494.25315559568639</v>
      </c>
      <c r="AM32" s="97">
        <f t="shared" ca="1" si="40"/>
        <v>496.2827479947656</v>
      </c>
      <c r="AN32" s="97">
        <f t="shared" ca="1" si="40"/>
        <v>498.32098345068675</v>
      </c>
      <c r="AO32" s="97">
        <f t="shared" ca="1" si="40"/>
        <v>500.36789945466285</v>
      </c>
      <c r="AP32" s="97">
        <f t="shared" ca="1" si="40"/>
        <v>502.42353366365705</v>
      </c>
      <c r="AQ32" s="97">
        <f t="shared" ca="1" si="40"/>
        <v>504.48792390113897</v>
      </c>
      <c r="AR32" s="97">
        <f t="shared" ca="1" si="40"/>
        <v>506.56110815784422</v>
      </c>
      <c r="AS32" s="97">
        <f t="shared" ca="1" si="40"/>
        <v>508.64312459253631</v>
      </c>
      <c r="AT32" s="96">
        <f t="shared" ca="1" si="40"/>
        <v>510.7340115327741</v>
      </c>
      <c r="AU32" s="97">
        <f t="shared" ca="1" si="40"/>
        <v>512.83380747568162</v>
      </c>
      <c r="AV32" s="97">
        <f t="shared" ca="1" si="40"/>
        <v>514.94255108872267</v>
      </c>
      <c r="AW32" s="97">
        <f t="shared" ca="1" si="40"/>
        <v>517.0602812104778</v>
      </c>
      <c r="AX32" s="97">
        <f t="shared" ca="1" si="40"/>
        <v>519.18703685142589</v>
      </c>
      <c r="AY32" s="97">
        <f t="shared" ca="1" si="40"/>
        <v>521.32285719473066</v>
      </c>
      <c r="AZ32" s="97">
        <f t="shared" ca="1" si="40"/>
        <v>523.46778159702751</v>
      </c>
      <c r="BA32" s="97">
        <f t="shared" ca="1" si="40"/>
        <v>525.62184958921898</v>
      </c>
      <c r="BB32" s="97">
        <f t="shared" ca="1" si="40"/>
        <v>527.78510087726909</v>
      </c>
      <c r="BC32" s="97">
        <f t="shared" ca="1" si="40"/>
        <v>529.95757534300515</v>
      </c>
      <c r="BD32" s="97">
        <f t="shared" ca="1" si="40"/>
        <v>532.13931304492257</v>
      </c>
      <c r="BE32" s="97">
        <f t="shared" ca="1" si="40"/>
        <v>534.33035421899228</v>
      </c>
      <c r="BF32" s="96">
        <f t="shared" ca="1" si="40"/>
        <v>536.53073927947287</v>
      </c>
      <c r="BG32" s="97">
        <f t="shared" ca="1" si="40"/>
        <v>538.74050881972835</v>
      </c>
      <c r="BH32" s="97">
        <f t="shared" ca="1" si="40"/>
        <v>540.95970361304626</v>
      </c>
      <c r="BI32" s="97">
        <f t="shared" ca="1" si="40"/>
        <v>543.18836461346336</v>
      </c>
      <c r="BJ32" s="97">
        <f t="shared" ca="1" si="40"/>
        <v>545.42653295659318</v>
      </c>
      <c r="BK32" s="97">
        <f t="shared" ca="1" si="40"/>
        <v>547.6742499604577</v>
      </c>
      <c r="BL32" s="97">
        <f t="shared" ca="1" si="40"/>
        <v>549.93155712632449</v>
      </c>
      <c r="BM32" s="97">
        <f t="shared" ca="1" si="40"/>
        <v>552.19849613954671</v>
      </c>
      <c r="BN32" s="97">
        <f t="shared" ca="1" si="40"/>
        <v>554.47510887040653</v>
      </c>
      <c r="BO32" s="97">
        <f t="shared" ca="1" si="40"/>
        <v>556.76143737496523</v>
      </c>
      <c r="BP32" s="97">
        <f t="shared" ca="1" si="40"/>
        <v>559.05752389591464</v>
      </c>
      <c r="BQ32" s="97">
        <f t="shared" ca="1" si="40"/>
        <v>561.36341086343396</v>
      </c>
      <c r="BR32" s="96">
        <f t="shared" ca="1" si="40"/>
        <v>563.67914089605154</v>
      </c>
    </row>
    <row r="33" spans="1:70" s="75" customFormat="1" ht="13.2" x14ac:dyDescent="0.3">
      <c r="A33" s="134"/>
      <c r="C33" s="49" t="s">
        <v>106</v>
      </c>
      <c r="D33" s="77"/>
      <c r="E33" s="96">
        <f ca="1">SUM(K33:V33)</f>
        <v>77.263377917470251</v>
      </c>
      <c r="F33" s="96">
        <f ca="1">SUM(W33:AH33)</f>
        <v>490.16257724559694</v>
      </c>
      <c r="G33" s="96">
        <f ca="1">SUM(AI33:AT33)</f>
        <v>412.47033531550369</v>
      </c>
      <c r="H33" s="96">
        <f ca="1">SUM(AU33:BF33)</f>
        <v>450.62799860490088</v>
      </c>
      <c r="I33" s="96">
        <f ca="1">SUM(BG33:BR33)</f>
        <v>491.05683466431401</v>
      </c>
      <c r="J33" s="133"/>
      <c r="K33" s="97">
        <f t="shared" ref="K33:AP33" ca="1" si="41">K15-K32</f>
        <v>-140.07666666666663</v>
      </c>
      <c r="L33" s="97">
        <f t="shared" ca="1" si="41"/>
        <v>28.00232866372437</v>
      </c>
      <c r="M33" s="97">
        <f t="shared" ca="1" si="41"/>
        <v>-21.773309573955032</v>
      </c>
      <c r="N33" s="97">
        <f t="shared" ca="1" si="41"/>
        <v>28.452162777093463</v>
      </c>
      <c r="O33" s="97">
        <f t="shared" ca="1" si="41"/>
        <v>28.678750506825793</v>
      </c>
      <c r="P33" s="97">
        <f t="shared" ca="1" si="41"/>
        <v>-40.391702560534782</v>
      </c>
      <c r="Q33" s="97">
        <f t="shared" ca="1" si="41"/>
        <v>31.869934209711289</v>
      </c>
      <c r="R33" s="97">
        <f t="shared" ca="1" si="41"/>
        <v>32.099896996179552</v>
      </c>
      <c r="S33" s="97">
        <f t="shared" ca="1" si="41"/>
        <v>32.33099450234414</v>
      </c>
      <c r="T33" s="97">
        <f t="shared" ca="1" si="41"/>
        <v>32.563231608995238</v>
      </c>
      <c r="U33" s="97">
        <f t="shared" ca="1" si="41"/>
        <v>32.636613215233695</v>
      </c>
      <c r="V33" s="96">
        <f t="shared" ca="1" si="41"/>
        <v>32.87114423851915</v>
      </c>
      <c r="W33" s="97">
        <f t="shared" ca="1" si="41"/>
        <v>126.59653955234347</v>
      </c>
      <c r="X33" s="97">
        <f t="shared" ca="1" si="41"/>
        <v>33.142424298147091</v>
      </c>
      <c r="Y33" s="97">
        <f t="shared" ca="1" si="41"/>
        <v>33.380433261629662</v>
      </c>
      <c r="Z33" s="97">
        <f t="shared" ca="1" si="41"/>
        <v>33.619611496534162</v>
      </c>
      <c r="AA33" s="97">
        <f t="shared" ca="1" si="41"/>
        <v>33.859964012825344</v>
      </c>
      <c r="AB33" s="97">
        <f t="shared" ca="1" si="41"/>
        <v>34.101495839111578</v>
      </c>
      <c r="AC33" s="97">
        <f t="shared" ca="1" si="41"/>
        <v>34.34421202269067</v>
      </c>
      <c r="AD33" s="97">
        <f t="shared" ca="1" si="41"/>
        <v>31.730974772454772</v>
      </c>
      <c r="AE33" s="97">
        <f t="shared" ca="1" si="41"/>
        <v>31.976074887508275</v>
      </c>
      <c r="AF33" s="97">
        <f t="shared" ca="1" si="41"/>
        <v>32.222374614357022</v>
      </c>
      <c r="AG33" s="97">
        <f t="shared" ca="1" si="41"/>
        <v>32.469879075527274</v>
      </c>
      <c r="AH33" s="96">
        <f t="shared" ca="1" si="41"/>
        <v>32.718593412467612</v>
      </c>
      <c r="AI33" s="97">
        <f t="shared" ca="1" si="41"/>
        <v>32.968522785596804</v>
      </c>
      <c r="AJ33" s="97">
        <f t="shared" ca="1" si="41"/>
        <v>33.219672374348931</v>
      </c>
      <c r="AK33" s="97">
        <f t="shared" ca="1" si="41"/>
        <v>33.472047377219837</v>
      </c>
      <c r="AL33" s="97">
        <f t="shared" ca="1" si="41"/>
        <v>33.725653011812028</v>
      </c>
      <c r="AM33" s="97">
        <f t="shared" ca="1" si="41"/>
        <v>33.980494514882366</v>
      </c>
      <c r="AN33" s="97">
        <f t="shared" ca="1" si="41"/>
        <v>34.236577142384931</v>
      </c>
      <c r="AO33" s="97">
        <f t="shared" ca="1" si="41"/>
        <v>34.493906169517913</v>
      </c>
      <c r="AP33" s="97">
        <f t="shared" ca="1" si="41"/>
        <v>34.752486890769205</v>
      </c>
      <c r="AQ33" s="97">
        <f t="shared" ref="AQ33:BR33" ca="1" si="42">AQ15-AQ32</f>
        <v>35.012324619960282</v>
      </c>
      <c r="AR33" s="97">
        <f t="shared" ca="1" si="42"/>
        <v>35.273424690290938</v>
      </c>
      <c r="AS33" s="97">
        <f t="shared" ca="1" si="42"/>
        <v>35.535792454385273</v>
      </c>
      <c r="AT33" s="96">
        <f t="shared" ca="1" si="42"/>
        <v>35.79943328433518</v>
      </c>
      <c r="AU33" s="97">
        <f t="shared" ca="1" si="42"/>
        <v>36.064352571744394</v>
      </c>
      <c r="AV33" s="97">
        <f t="shared" ca="1" si="42"/>
        <v>36.330555727773231</v>
      </c>
      <c r="AW33" s="97">
        <f t="shared" ca="1" si="42"/>
        <v>36.5980481831823</v>
      </c>
      <c r="AX33" s="97">
        <f t="shared" ca="1" si="42"/>
        <v>36.866835388376217</v>
      </c>
      <c r="AY33" s="97">
        <f t="shared" ca="1" si="42"/>
        <v>37.136922813446176</v>
      </c>
      <c r="AZ33" s="97">
        <f t="shared" ca="1" si="42"/>
        <v>37.408315948215431</v>
      </c>
      <c r="BA33" s="97">
        <f t="shared" ca="1" si="42"/>
        <v>37.681020302279421</v>
      </c>
      <c r="BB33" s="97">
        <f t="shared" ca="1" si="42"/>
        <v>37.955041405051361</v>
      </c>
      <c r="BC33" s="97">
        <f t="shared" ca="1" si="42"/>
        <v>38.230384805803396</v>
      </c>
      <c r="BD33" s="97">
        <f t="shared" ca="1" si="42"/>
        <v>38.507056073708782</v>
      </c>
      <c r="BE33" s="97">
        <f t="shared" ca="1" si="42"/>
        <v>38.785060797884967</v>
      </c>
      <c r="BF33" s="96">
        <f t="shared" ca="1" si="42"/>
        <v>39.064404587435206</v>
      </c>
      <c r="BG33" s="97">
        <f t="shared" ca="1" si="42"/>
        <v>39.345093071489487</v>
      </c>
      <c r="BH33" s="97">
        <f t="shared" ca="1" si="42"/>
        <v>39.627131899247502</v>
      </c>
      <c r="BI33" s="97">
        <f t="shared" ca="1" si="42"/>
        <v>39.910526740018213</v>
      </c>
      <c r="BJ33" s="97">
        <f t="shared" ca="1" si="42"/>
        <v>40.195283283261801</v>
      </c>
      <c r="BK33" s="97">
        <f t="shared" ca="1" si="42"/>
        <v>40.48140723863014</v>
      </c>
      <c r="BL33" s="97">
        <f t="shared" ca="1" si="42"/>
        <v>40.768904336006699</v>
      </c>
      <c r="BM33" s="97">
        <f t="shared" ca="1" si="42"/>
        <v>41.057780325547128</v>
      </c>
      <c r="BN33" s="97">
        <f t="shared" ca="1" si="42"/>
        <v>41.348040977719847</v>
      </c>
      <c r="BO33" s="97">
        <f t="shared" ca="1" si="42"/>
        <v>41.639692083343562</v>
      </c>
      <c r="BP33" s="97">
        <f t="shared" ca="1" si="42"/>
        <v>41.932739453628074</v>
      </c>
      <c r="BQ33" s="97">
        <f t="shared" ca="1" si="42"/>
        <v>42.227188920213621</v>
      </c>
      <c r="BR33" s="96">
        <f t="shared" ca="1" si="42"/>
        <v>42.523046335207937</v>
      </c>
    </row>
    <row r="34" spans="1:70" s="75" customFormat="1" ht="13.2" x14ac:dyDescent="0.3">
      <c r="A34" s="134"/>
      <c r="C34" s="49" t="s">
        <v>107</v>
      </c>
      <c r="D34" s="77"/>
      <c r="E34" s="96">
        <f t="shared" ref="E34" ca="1" si="43">V34</f>
        <v>267.26337791747028</v>
      </c>
      <c r="F34" s="96">
        <f ca="1">AH34</f>
        <v>757.42595516306733</v>
      </c>
      <c r="G34" s="96">
        <f t="shared" ref="G34" ca="1" si="44">AT34</f>
        <v>1169.896290478571</v>
      </c>
      <c r="H34" s="96">
        <f t="shared" ref="H34" ca="1" si="45">BF34</f>
        <v>1620.5242890834716</v>
      </c>
      <c r="I34" s="96">
        <f t="shared" ref="I34" ca="1" si="46">BR34</f>
        <v>2111.5811237477856</v>
      </c>
      <c r="J34" s="133"/>
      <c r="K34" s="97">
        <f t="shared" ref="K34:AP34" ca="1" si="47">K5+K33</f>
        <v>49.923333333333375</v>
      </c>
      <c r="L34" s="97">
        <f t="shared" ca="1" si="47"/>
        <v>77.925661997057745</v>
      </c>
      <c r="M34" s="97">
        <f t="shared" ca="1" si="47"/>
        <v>56.152352423102712</v>
      </c>
      <c r="N34" s="97">
        <f t="shared" ca="1" si="47"/>
        <v>84.604515200196175</v>
      </c>
      <c r="O34" s="97">
        <f t="shared" ca="1" si="47"/>
        <v>113.28326570702197</v>
      </c>
      <c r="P34" s="97">
        <f t="shared" ca="1" si="47"/>
        <v>72.891563146487186</v>
      </c>
      <c r="Q34" s="97">
        <f t="shared" ca="1" si="47"/>
        <v>104.76149735619848</v>
      </c>
      <c r="R34" s="97">
        <f t="shared" ca="1" si="47"/>
        <v>136.86139435237803</v>
      </c>
      <c r="S34" s="97">
        <f t="shared" ca="1" si="47"/>
        <v>169.19238885472217</v>
      </c>
      <c r="T34" s="97">
        <f t="shared" ca="1" si="47"/>
        <v>201.75562046371741</v>
      </c>
      <c r="U34" s="97">
        <f t="shared" ca="1" si="47"/>
        <v>234.3922336789511</v>
      </c>
      <c r="V34" s="96">
        <f t="shared" ca="1" si="47"/>
        <v>267.26337791747028</v>
      </c>
      <c r="W34" s="97">
        <f t="shared" ca="1" si="47"/>
        <v>393.85991746981375</v>
      </c>
      <c r="X34" s="97">
        <f t="shared" ca="1" si="47"/>
        <v>427.00234176796084</v>
      </c>
      <c r="Y34" s="97">
        <f t="shared" ca="1" si="47"/>
        <v>460.3827750295905</v>
      </c>
      <c r="Z34" s="97">
        <f t="shared" ca="1" si="47"/>
        <v>494.00238652612467</v>
      </c>
      <c r="AA34" s="97">
        <f t="shared" ca="1" si="47"/>
        <v>527.86235053895007</v>
      </c>
      <c r="AB34" s="97">
        <f t="shared" ca="1" si="47"/>
        <v>561.96384637806159</v>
      </c>
      <c r="AC34" s="97">
        <f t="shared" ca="1" si="47"/>
        <v>596.30805840075232</v>
      </c>
      <c r="AD34" s="97">
        <f t="shared" ca="1" si="47"/>
        <v>628.03903317320714</v>
      </c>
      <c r="AE34" s="97">
        <f t="shared" ca="1" si="47"/>
        <v>660.01510806071542</v>
      </c>
      <c r="AF34" s="97">
        <f t="shared" ca="1" si="47"/>
        <v>692.23748267507244</v>
      </c>
      <c r="AG34" s="97">
        <f t="shared" ca="1" si="47"/>
        <v>724.70736175059972</v>
      </c>
      <c r="AH34" s="96">
        <f t="shared" ca="1" si="47"/>
        <v>757.42595516306733</v>
      </c>
      <c r="AI34" s="97">
        <f t="shared" ca="1" si="47"/>
        <v>790.39447794866419</v>
      </c>
      <c r="AJ34" s="97">
        <f t="shared" ca="1" si="47"/>
        <v>823.61415032301306</v>
      </c>
      <c r="AK34" s="97">
        <f t="shared" ca="1" si="47"/>
        <v>857.0861977002329</v>
      </c>
      <c r="AL34" s="97">
        <f t="shared" ca="1" si="47"/>
        <v>890.81185071204493</v>
      </c>
      <c r="AM34" s="97">
        <f t="shared" ca="1" si="47"/>
        <v>924.7923452269273</v>
      </c>
      <c r="AN34" s="97">
        <f t="shared" ca="1" si="47"/>
        <v>959.02892236931223</v>
      </c>
      <c r="AO34" s="97">
        <f t="shared" ca="1" si="47"/>
        <v>993.52282853883014</v>
      </c>
      <c r="AP34" s="97">
        <f t="shared" ca="1" si="47"/>
        <v>1028.2753154295992</v>
      </c>
      <c r="AQ34" s="97">
        <f t="shared" ref="AQ34:BR34" ca="1" si="48">AQ5+AQ33</f>
        <v>1063.2876400495595</v>
      </c>
      <c r="AR34" s="97">
        <f t="shared" ca="1" si="48"/>
        <v>1098.5610647398505</v>
      </c>
      <c r="AS34" s="97">
        <f t="shared" ca="1" si="48"/>
        <v>1134.0968571942358</v>
      </c>
      <c r="AT34" s="96">
        <f t="shared" ca="1" si="48"/>
        <v>1169.896290478571</v>
      </c>
      <c r="AU34" s="97">
        <f t="shared" ca="1" si="48"/>
        <v>1205.9606430503154</v>
      </c>
      <c r="AV34" s="97">
        <f t="shared" ca="1" si="48"/>
        <v>1242.2911987780885</v>
      </c>
      <c r="AW34" s="97">
        <f t="shared" ca="1" si="48"/>
        <v>1278.8892469612708</v>
      </c>
      <c r="AX34" s="97">
        <f t="shared" ca="1" si="48"/>
        <v>1315.7560823496469</v>
      </c>
      <c r="AY34" s="97">
        <f t="shared" ca="1" si="48"/>
        <v>1352.8930051630932</v>
      </c>
      <c r="AZ34" s="97">
        <f t="shared" ca="1" si="48"/>
        <v>1390.3013211113087</v>
      </c>
      <c r="BA34" s="97">
        <f t="shared" ca="1" si="48"/>
        <v>1427.9823414135881</v>
      </c>
      <c r="BB34" s="97">
        <f t="shared" ca="1" si="48"/>
        <v>1465.9373828186394</v>
      </c>
      <c r="BC34" s="97">
        <f t="shared" ca="1" si="48"/>
        <v>1504.1677676244428</v>
      </c>
      <c r="BD34" s="97">
        <f t="shared" ca="1" si="48"/>
        <v>1542.6748236981516</v>
      </c>
      <c r="BE34" s="97">
        <f t="shared" ca="1" si="48"/>
        <v>1581.4598844960365</v>
      </c>
      <c r="BF34" s="96">
        <f t="shared" ca="1" si="48"/>
        <v>1620.5242890834716</v>
      </c>
      <c r="BG34" s="97">
        <f t="shared" ca="1" si="48"/>
        <v>1659.8693821549609</v>
      </c>
      <c r="BH34" s="97">
        <f t="shared" ca="1" si="48"/>
        <v>1699.4965140542085</v>
      </c>
      <c r="BI34" s="97">
        <f t="shared" ca="1" si="48"/>
        <v>1739.4070407942268</v>
      </c>
      <c r="BJ34" s="97">
        <f t="shared" ca="1" si="48"/>
        <v>1779.6023240774884</v>
      </c>
      <c r="BK34" s="97">
        <f t="shared" ca="1" si="48"/>
        <v>1820.0837313161187</v>
      </c>
      <c r="BL34" s="97">
        <f t="shared" ca="1" si="48"/>
        <v>1860.8526356521254</v>
      </c>
      <c r="BM34" s="97">
        <f t="shared" ca="1" si="48"/>
        <v>1901.9104159776725</v>
      </c>
      <c r="BN34" s="97">
        <f t="shared" ca="1" si="48"/>
        <v>1943.2584569553924</v>
      </c>
      <c r="BO34" s="97">
        <f t="shared" ca="1" si="48"/>
        <v>1984.8981490387359</v>
      </c>
      <c r="BP34" s="97">
        <f t="shared" ca="1" si="48"/>
        <v>2026.830888492364</v>
      </c>
      <c r="BQ34" s="97">
        <f t="shared" ca="1" si="48"/>
        <v>2069.0580774125774</v>
      </c>
      <c r="BR34" s="96">
        <f t="shared" ca="1" si="48"/>
        <v>2111.5811237477856</v>
      </c>
    </row>
    <row r="35" spans="1:70" ht="6" customHeight="1" x14ac:dyDescent="0.3">
      <c r="A35" s="13"/>
      <c r="B35" s="13"/>
      <c r="E35" s="113"/>
      <c r="F35" s="113"/>
      <c r="G35" s="113"/>
      <c r="H35" s="113"/>
      <c r="I35" s="113"/>
      <c r="J35" s="129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</row>
    <row r="36" spans="1:70" x14ac:dyDescent="0.25">
      <c r="C36" s="49" t="s">
        <v>193</v>
      </c>
    </row>
    <row r="37" spans="1:70" ht="13.2" x14ac:dyDescent="0.3">
      <c r="A37" s="13"/>
      <c r="B37" s="5"/>
      <c r="C37" s="61" t="s">
        <v>34</v>
      </c>
      <c r="D37" s="14"/>
      <c r="E37" s="89">
        <f t="shared" ref="E37:E39" si="49">SUM(K37:V37)</f>
        <v>203.29618175841702</v>
      </c>
      <c r="F37" s="89">
        <f t="shared" ref="F37:F39" si="50">SUM(W37:AH37)</f>
        <v>396.47161730797035</v>
      </c>
      <c r="G37" s="89">
        <f t="shared" ref="G37:G39" si="51">SUM(AI37:AT37)</f>
        <v>412.47033531550346</v>
      </c>
      <c r="H37" s="89">
        <f t="shared" ref="H37:H39" si="52">SUM(AU37:BF37)</f>
        <v>450.62799860490048</v>
      </c>
      <c r="I37" s="89">
        <f t="shared" ref="I37:I39" si="53">SUM(BG37:BR37)</f>
        <v>491.05683466431418</v>
      </c>
      <c r="J37" s="88"/>
      <c r="K37" s="90">
        <f>(Income!K23+Income!K19)-K14+K20+(Balance!J8-Balance!K8)+(Balance!K21-Balance!J21)</f>
        <v>-136.07666666666663</v>
      </c>
      <c r="L37" s="90">
        <f>(Income!L23+Income!L19)+(K14-L14)+(L20-K20)+(Balance!K8-Balance!L8)+(Balance!L21-Balance!K21)</f>
        <v>28.002328663724423</v>
      </c>
      <c r="M37" s="91">
        <f>(Income!M23+Income!M19)+(L14-M14)+(M20-L20)+(Balance!L8-Balance!M8)+(Balance!M21-Balance!L21)</f>
        <v>28.226690426044989</v>
      </c>
      <c r="N37" s="91">
        <f>(Income!N23+Income!N19)+(M14-N14)+(N20-M20)+(Balance!M8-Balance!N8)+(Balance!N21-Balance!M21)</f>
        <v>28.452162777093534</v>
      </c>
      <c r="O37" s="91">
        <f>(Income!O23+Income!O19)+(N14-O14)+(O20-N20)+(Balance!N8-Balance!O8)+(Balance!O21-Balance!N21)</f>
        <v>28.678750506825661</v>
      </c>
      <c r="P37" s="91">
        <f>(Income!P23+Income!P19)+(O14-P14)+(P20-O20)+(Balance!O8-Balance!P8)+(Balance!P21-Balance!O21)</f>
        <v>31.641101280411718</v>
      </c>
      <c r="Q37" s="91">
        <f>(Income!Q23+Income!Q19)+(P14-Q14)+(Q20-P20)+(Balance!P8-Balance!Q8)+(Balance!Q21-Balance!P21)</f>
        <v>31.869934209711367</v>
      </c>
      <c r="R37" s="91">
        <f>(Income!R23+Income!R19)+(Q14-R14)+(R20-Q20)+(Balance!Q8-Balance!R8)+(Balance!R21-Balance!Q21)</f>
        <v>32.099896996179652</v>
      </c>
      <c r="S37" s="91">
        <f>(Income!S23+Income!S19)+(R14-S14)+(S20-R20)+(Balance!R8-Balance!S8)+(Balance!S21-Balance!R21)</f>
        <v>32.330994502344183</v>
      </c>
      <c r="T37" s="91">
        <f>(Income!T23+Income!T19)+(S14-T14)+(T20-S20)+(Balance!S8-Balance!T8)+(Balance!T21-Balance!S21)</f>
        <v>32.563231608995181</v>
      </c>
      <c r="U37" s="91">
        <f>(Income!U23+Income!U19)+(T14-U14)+(U20-T20)+(Balance!T8-Balance!U8)+(Balance!U21-Balance!T21)</f>
        <v>32.63661321523378</v>
      </c>
      <c r="V37" s="89">
        <f>(Income!V23+Income!V19)+(U14-V14)+(V20-U20)+(Balance!U8-Balance!V8)+(Balance!V21-Balance!U21)</f>
        <v>32.87114423851915</v>
      </c>
      <c r="W37" s="90">
        <f>(Income!W23+Income!W19)+(V14-W14)+(W20-V20)+(Balance!V8-Balance!W8)+(Balance!W21-Balance!V21)</f>
        <v>32.905579614717141</v>
      </c>
      <c r="X37" s="91">
        <f>(Income!X23+Income!X19)+(W14-X14)+(X20-W20)+(Balance!W8-Balance!X8)+(Balance!X21-Balance!W21)</f>
        <v>33.142424298147219</v>
      </c>
      <c r="Y37" s="91">
        <f>(Income!Y23+Income!Y19)+(X14-Y14)+(Y20-X20)+(Balance!X8-Balance!Y8)+(Balance!Y21-Balance!X21)</f>
        <v>33.38043326162952</v>
      </c>
      <c r="Z37" s="91">
        <f>(Income!Z23+Income!Z19)+(Y14-Z14)+(Z20-Y20)+(Balance!Y8-Balance!Z8)+(Balance!Z21-Balance!Y21)</f>
        <v>33.619611496534219</v>
      </c>
      <c r="AA37" s="91">
        <f>(Income!AA23+Income!AA19)+(Z14-AA14)+(AA20-Z20)+(Balance!Z8-Balance!AA8)+(Balance!AA21-Balance!Z21)</f>
        <v>33.859964012825245</v>
      </c>
      <c r="AB37" s="91">
        <f>(Income!AB23+Income!AB19)+(AA14-AB14)+(AB20-AA20)+(Balance!AA8-Balance!AB8)+(Balance!AB21-Balance!AA21)</f>
        <v>34.101495839111564</v>
      </c>
      <c r="AC37" s="91">
        <f>(Income!AC23+Income!AC19)+(AB14-AC14)+(AC20-AB20)+(Balance!AB8-Balance!AC8)+(Balance!AC21-Balance!AB21)</f>
        <v>34.344212022690705</v>
      </c>
      <c r="AD37" s="91">
        <f>(Income!AD23+Income!AD19)+(AC14-AD14)+(AD20-AC20)+(Balance!AC8-Balance!AD8)+(Balance!AD21-Balance!AC21)</f>
        <v>31.730974772454697</v>
      </c>
      <c r="AE37" s="91">
        <f>(Income!AE23+Income!AE19)+(AD14-AE14)+(AE20-AD20)+(Balance!AD8-Balance!AE8)+(Balance!AE21-Balance!AD21)</f>
        <v>31.976074887508233</v>
      </c>
      <c r="AF37" s="91">
        <f>(Income!AF23+Income!AF19)+(AE14-AF14)+(AF20-AE20)+(Balance!AE8-Balance!AF8)+(Balance!AF21-Balance!AE21)</f>
        <v>32.222374614357022</v>
      </c>
      <c r="AG37" s="91">
        <f>(Income!AG23+Income!AG19)+(AF14-AG14)+(AG20-AF20)+(Balance!AF8-Balance!AG8)+(Balance!AG21-Balance!AF21)</f>
        <v>32.469879075527203</v>
      </c>
      <c r="AH37" s="89">
        <f>(Income!AH23+Income!AH19)+(AG14-AH14)+(AH20-AG20)+(Balance!AG8-Balance!AH8)+(Balance!AH21-Balance!AG21)</f>
        <v>32.718593412467605</v>
      </c>
      <c r="AI37" s="90">
        <f>(Income!AI23+Income!AI19)+(AH14-AI14)+(AI20-AH20)+(Balance!AH8-Balance!AI8)+(Balance!AI21-Balance!AH21)</f>
        <v>32.968522785596804</v>
      </c>
      <c r="AJ37" s="91">
        <f>(Income!AJ23+Income!AJ19)+(AI14-AJ14)+(AJ20-AI20)+(Balance!AI8-Balance!AJ8)+(Balance!AJ21-Balance!AI21)</f>
        <v>33.219672374348903</v>
      </c>
      <c r="AK37" s="91">
        <f>(Income!AK23+Income!AK19)+(AJ14-AK14)+(AK20-AJ20)+(Balance!AJ8-Balance!AK8)+(Balance!AK21-Balance!AJ21)</f>
        <v>33.472047377219837</v>
      </c>
      <c r="AL37" s="91">
        <f>(Income!AL23+Income!AL19)+(AK14-AL14)+(AL20-AK20)+(Balance!AK8-Balance!AL8)+(Balance!AL21-Balance!AK21)</f>
        <v>33.725653011812057</v>
      </c>
      <c r="AM37" s="91">
        <f>(Income!AM23+Income!AM19)+(AL14-AM14)+(AM20-AL20)+(Balance!AL8-Balance!AM8)+(Balance!AM21-Balance!AL21)</f>
        <v>33.980494514882331</v>
      </c>
      <c r="AN37" s="91">
        <f>(Income!AN23+Income!AN19)+(AM14-AN14)+(AN20-AM20)+(Balance!AM8-Balance!AN8)+(Balance!AN21-Balance!AM21)</f>
        <v>34.236577142384874</v>
      </c>
      <c r="AO37" s="91">
        <f>(Income!AO23+Income!AO19)+(AN14-AO14)+(AO20-AN20)+(Balance!AN8-Balance!AO8)+(Balance!AO21-Balance!AN21)</f>
        <v>34.493906169517899</v>
      </c>
      <c r="AP37" s="91">
        <f>(Income!AP23+Income!AP19)+(AO14-AP14)+(AP20-AO20)+(Balance!AO8-Balance!AP8)+(Balance!AP21-Balance!AO21)</f>
        <v>34.752486890769148</v>
      </c>
      <c r="AQ37" s="91">
        <f>(Income!AQ23+Income!AQ19)+(AP14-AQ14)+(AQ20-AP20)+(Balance!AP8-Balance!AQ8)+(Balance!AQ21-Balance!AP21)</f>
        <v>35.012324619960282</v>
      </c>
      <c r="AR37" s="91">
        <f>(Income!AR23+Income!AR19)+(AQ14-AR14)+(AR20-AQ20)+(Balance!AQ8-Balance!AR8)+(Balance!AR21-Balance!AQ21)</f>
        <v>35.273424690290831</v>
      </c>
      <c r="AS37" s="91">
        <f>(Income!AS23+Income!AS19)+(AR14-AS14)+(AS20-AR20)+(Balance!AR8-Balance!AS8)+(Balance!AS21-Balance!AR21)</f>
        <v>35.535792454385266</v>
      </c>
      <c r="AT37" s="89">
        <f>(Income!AT23+Income!AT19)+(AS14-AT14)+(AT20-AS20)+(Balance!AS8-Balance!AT8)+(Balance!AT21-Balance!AS21)</f>
        <v>35.799433284335208</v>
      </c>
      <c r="AU37" s="90">
        <f>(Income!AU23+Income!AU19)+(AT14-AU14)+(AU20-AT20)+(Balance!AT8-Balance!AU8)+(Balance!AU21-Balance!AT21)</f>
        <v>36.064352571744365</v>
      </c>
      <c r="AV37" s="91">
        <f>(Income!AV23+Income!AV19)+(AU14-AV14)+(AV20-AU20)+(Balance!AU8-Balance!AV8)+(Balance!AV21-Balance!AU21)</f>
        <v>36.330555727773266</v>
      </c>
      <c r="AW37" s="91">
        <f>(Income!AW23+Income!AW19)+(AV14-AW14)+(AW20-AV20)+(Balance!AV8-Balance!AW8)+(Balance!AW21-Balance!AV21)</f>
        <v>36.598048183182335</v>
      </c>
      <c r="AX37" s="91">
        <f>(Income!AX23+Income!AX19)+(AW14-AX14)+(AX20-AW20)+(Balance!AW8-Balance!AX8)+(Balance!AX21-Balance!AW21)</f>
        <v>36.866835388376202</v>
      </c>
      <c r="AY37" s="91">
        <f>(Income!AY23+Income!AY19)+(AX14-AY14)+(AY20-AX20)+(Balance!AX8-Balance!AY8)+(Balance!AY21-Balance!AX21)</f>
        <v>37.136922813446191</v>
      </c>
      <c r="AZ37" s="91">
        <f>(Income!AZ23+Income!AZ19)+(AY14-AZ14)+(AZ20-AY20)+(Balance!AY8-Balance!AZ8)+(Balance!AZ21-Balance!AY21)</f>
        <v>37.408315948215296</v>
      </c>
      <c r="BA37" s="91">
        <f>(Income!BA23+Income!BA19)+(AZ14-BA14)+(BA20-AZ20)+(Balance!AZ8-Balance!BA8)+(Balance!BA21-Balance!AZ21)</f>
        <v>37.68102030227945</v>
      </c>
      <c r="BB37" s="91">
        <f>(Income!BB23+Income!BB19)+(BA14-BB14)+(BB20-BA20)+(Balance!BA8-Balance!BB8)+(Balance!BB21-Balance!BA21)</f>
        <v>37.955041405051276</v>
      </c>
      <c r="BC37" s="91">
        <f>(Income!BC23+Income!BC19)+(BB14-BC14)+(BC20-BB20)+(Balance!BB8-Balance!BC8)+(Balance!BC21-Balance!BB21)</f>
        <v>38.230384805803425</v>
      </c>
      <c r="BD37" s="91">
        <f>(Income!BD23+Income!BD19)+(BC14-BD14)+(BD20-BC20)+(Balance!BC8-Balance!BD8)+(Balance!BD21-Balance!BC21)</f>
        <v>38.507056073708625</v>
      </c>
      <c r="BE37" s="91">
        <f>(Income!BE23+Income!BE19)+(BD14-BE14)+(BE20-BD20)+(Balance!BD8-Balance!BE8)+(Balance!BE21-Balance!BD21)</f>
        <v>38.785060797884967</v>
      </c>
      <c r="BF37" s="89">
        <f>(Income!BF23+Income!BF19)+(BE14-BF14)+(BF20-BE20)+(Balance!BE8-Balance!BF8)+(Balance!BF21-Balance!BE21)</f>
        <v>39.064404587435206</v>
      </c>
      <c r="BG37" s="90">
        <f>(Income!BG23+Income!BG19)+(BF14-BG14)+(BG20-BF20)+(Balance!BF8-Balance!BG8)+(Balance!BG21-Balance!BF21)</f>
        <v>39.34509307148943</v>
      </c>
      <c r="BH37" s="91">
        <f>(Income!BH23+Income!BH19)+(BG14-BH14)+(BH20-BG20)+(Balance!BG8-Balance!BH8)+(Balance!BH21-Balance!BG21)</f>
        <v>39.627131899247466</v>
      </c>
      <c r="BI37" s="91">
        <f>(Income!BI23+Income!BI19)+(BH14-BI14)+(BI20-BH20)+(Balance!BH8-Balance!BI8)+(Balance!BI21-Balance!BH21)</f>
        <v>39.910526740018085</v>
      </c>
      <c r="BJ37" s="91">
        <f>(Income!BJ23+Income!BJ19)+(BI14-BJ14)+(BJ20-BI20)+(Balance!BI8-Balance!BJ8)+(Balance!BJ21-Balance!BI21)</f>
        <v>40.195283283261858</v>
      </c>
      <c r="BK37" s="91">
        <f>(Income!BK23+Income!BK19)+(BJ14-BK14)+(BK20-BJ20)+(Balance!BJ8-Balance!BK8)+(Balance!BK21-Balance!BJ21)</f>
        <v>40.481407238630098</v>
      </c>
      <c r="BL37" s="91">
        <f>(Income!BL23+Income!BL19)+(BK14-BL14)+(BL20-BK20)+(Balance!BK8-Balance!BL8)+(Balance!BL21-Balance!BK21)</f>
        <v>40.768904336006742</v>
      </c>
      <c r="BM37" s="91">
        <f>(Income!BM23+Income!BM19)+(BL14-BM14)+(BM20-BL20)+(Balance!BL8-Balance!BM8)+(Balance!BM21-Balance!BL21)</f>
        <v>41.05778032554722</v>
      </c>
      <c r="BN37" s="91">
        <f>(Income!BN23+Income!BN19)+(BM14-BN14)+(BN20-BM20)+(Balance!BM8-Balance!BN8)+(Balance!BN21-Balance!BM21)</f>
        <v>41.348040977719805</v>
      </c>
      <c r="BO37" s="91">
        <f>(Income!BO23+Income!BO19)+(BN14-BO14)+(BO20-BN20)+(Balance!BN8-Balance!BO8)+(Balance!BO21-Balance!BN21)</f>
        <v>41.639692083343625</v>
      </c>
      <c r="BP37" s="91">
        <f>(Income!BP23+Income!BP19)+(BO14-BP14)+(BP20-BO20)+(Balance!BO8-Balance!BP8)+(Balance!BP21-Balance!BO21)</f>
        <v>41.932739453628166</v>
      </c>
      <c r="BQ37" s="91">
        <f>(Income!BQ23+Income!BQ19)+(BP14-BQ14)+(BQ20-BP20)+(Balance!BP8-Balance!BQ8)+(Balance!BQ21-Balance!BP21)</f>
        <v>42.227188920213642</v>
      </c>
      <c r="BR37" s="89">
        <f>(Income!BR23+Income!BR19)+(BQ14-BR14)+(BR20-BQ20)+(Balance!BQ8-Balance!BR8)+(Balance!BR21-Balance!BQ21)</f>
        <v>42.523046335208051</v>
      </c>
    </row>
    <row r="38" spans="1:70" ht="13.2" x14ac:dyDescent="0.3">
      <c r="A38" s="13"/>
      <c r="B38" s="5"/>
      <c r="C38" s="61" t="s">
        <v>35</v>
      </c>
      <c r="D38" s="14"/>
      <c r="E38" s="89">
        <f t="shared" si="49"/>
        <v>-154</v>
      </c>
      <c r="F38" s="89">
        <f t="shared" si="50"/>
        <v>0</v>
      </c>
      <c r="G38" s="89">
        <f t="shared" si="51"/>
        <v>0</v>
      </c>
      <c r="H38" s="89">
        <f t="shared" si="52"/>
        <v>0</v>
      </c>
      <c r="I38" s="89">
        <f t="shared" si="53"/>
        <v>0</v>
      </c>
      <c r="J38" s="88"/>
      <c r="K38" s="90">
        <f t="shared" ref="K38:AP38" si="54">-K31</f>
        <v>-4</v>
      </c>
      <c r="L38" s="90">
        <f t="shared" si="54"/>
        <v>0</v>
      </c>
      <c r="M38" s="91">
        <f t="shared" si="54"/>
        <v>-50</v>
      </c>
      <c r="N38" s="91">
        <f t="shared" si="54"/>
        <v>0</v>
      </c>
      <c r="O38" s="91">
        <f t="shared" si="54"/>
        <v>0</v>
      </c>
      <c r="P38" s="91">
        <f t="shared" si="54"/>
        <v>-100</v>
      </c>
      <c r="Q38" s="91">
        <f t="shared" si="54"/>
        <v>0</v>
      </c>
      <c r="R38" s="91">
        <f t="shared" si="54"/>
        <v>0</v>
      </c>
      <c r="S38" s="91">
        <f t="shared" si="54"/>
        <v>0</v>
      </c>
      <c r="T38" s="91">
        <f t="shared" si="54"/>
        <v>0</v>
      </c>
      <c r="U38" s="91">
        <f t="shared" si="54"/>
        <v>0</v>
      </c>
      <c r="V38" s="89">
        <f t="shared" si="54"/>
        <v>0</v>
      </c>
      <c r="W38" s="90">
        <f t="shared" si="54"/>
        <v>0</v>
      </c>
      <c r="X38" s="91">
        <f t="shared" si="54"/>
        <v>0</v>
      </c>
      <c r="Y38" s="91">
        <f t="shared" si="54"/>
        <v>0</v>
      </c>
      <c r="Z38" s="91">
        <f t="shared" si="54"/>
        <v>0</v>
      </c>
      <c r="AA38" s="91">
        <f t="shared" si="54"/>
        <v>0</v>
      </c>
      <c r="AB38" s="91">
        <f t="shared" si="54"/>
        <v>0</v>
      </c>
      <c r="AC38" s="91">
        <f t="shared" si="54"/>
        <v>0</v>
      </c>
      <c r="AD38" s="91">
        <f t="shared" si="54"/>
        <v>0</v>
      </c>
      <c r="AE38" s="91">
        <f t="shared" si="54"/>
        <v>0</v>
      </c>
      <c r="AF38" s="91">
        <f t="shared" si="54"/>
        <v>0</v>
      </c>
      <c r="AG38" s="91">
        <f t="shared" si="54"/>
        <v>0</v>
      </c>
      <c r="AH38" s="89">
        <f t="shared" si="54"/>
        <v>0</v>
      </c>
      <c r="AI38" s="90">
        <f t="shared" si="54"/>
        <v>0</v>
      </c>
      <c r="AJ38" s="91">
        <f t="shared" si="54"/>
        <v>0</v>
      </c>
      <c r="AK38" s="91">
        <f t="shared" si="54"/>
        <v>0</v>
      </c>
      <c r="AL38" s="91">
        <f t="shared" si="54"/>
        <v>0</v>
      </c>
      <c r="AM38" s="91">
        <f t="shared" si="54"/>
        <v>0</v>
      </c>
      <c r="AN38" s="91">
        <f t="shared" si="54"/>
        <v>0</v>
      </c>
      <c r="AO38" s="91">
        <f t="shared" si="54"/>
        <v>0</v>
      </c>
      <c r="AP38" s="91">
        <f t="shared" si="54"/>
        <v>0</v>
      </c>
      <c r="AQ38" s="91">
        <f t="shared" ref="AQ38:BR38" si="55">-AQ31</f>
        <v>0</v>
      </c>
      <c r="AR38" s="91">
        <f t="shared" si="55"/>
        <v>0</v>
      </c>
      <c r="AS38" s="91">
        <f t="shared" si="55"/>
        <v>0</v>
      </c>
      <c r="AT38" s="89">
        <f t="shared" si="55"/>
        <v>0</v>
      </c>
      <c r="AU38" s="90">
        <f t="shared" si="55"/>
        <v>0</v>
      </c>
      <c r="AV38" s="91">
        <f t="shared" si="55"/>
        <v>0</v>
      </c>
      <c r="AW38" s="91">
        <f t="shared" si="55"/>
        <v>0</v>
      </c>
      <c r="AX38" s="91">
        <f t="shared" si="55"/>
        <v>0</v>
      </c>
      <c r="AY38" s="91">
        <f t="shared" si="55"/>
        <v>0</v>
      </c>
      <c r="AZ38" s="91">
        <f t="shared" si="55"/>
        <v>0</v>
      </c>
      <c r="BA38" s="91">
        <f t="shared" si="55"/>
        <v>0</v>
      </c>
      <c r="BB38" s="91">
        <f t="shared" si="55"/>
        <v>0</v>
      </c>
      <c r="BC38" s="91">
        <f t="shared" si="55"/>
        <v>0</v>
      </c>
      <c r="BD38" s="91">
        <f t="shared" si="55"/>
        <v>0</v>
      </c>
      <c r="BE38" s="91">
        <f t="shared" si="55"/>
        <v>0</v>
      </c>
      <c r="BF38" s="89">
        <f t="shared" si="55"/>
        <v>0</v>
      </c>
      <c r="BG38" s="90">
        <f t="shared" si="55"/>
        <v>0</v>
      </c>
      <c r="BH38" s="91">
        <f t="shared" si="55"/>
        <v>0</v>
      </c>
      <c r="BI38" s="91">
        <f t="shared" si="55"/>
        <v>0</v>
      </c>
      <c r="BJ38" s="91">
        <f t="shared" si="55"/>
        <v>0</v>
      </c>
      <c r="BK38" s="91">
        <f t="shared" si="55"/>
        <v>0</v>
      </c>
      <c r="BL38" s="91">
        <f t="shared" si="55"/>
        <v>0</v>
      </c>
      <c r="BM38" s="91">
        <f t="shared" si="55"/>
        <v>0</v>
      </c>
      <c r="BN38" s="91">
        <f t="shared" si="55"/>
        <v>0</v>
      </c>
      <c r="BO38" s="91">
        <f t="shared" si="55"/>
        <v>0</v>
      </c>
      <c r="BP38" s="91">
        <f t="shared" si="55"/>
        <v>0</v>
      </c>
      <c r="BQ38" s="91">
        <f t="shared" si="55"/>
        <v>0</v>
      </c>
      <c r="BR38" s="89">
        <f t="shared" si="55"/>
        <v>0</v>
      </c>
    </row>
    <row r="39" spans="1:70" ht="13.2" x14ac:dyDescent="0.3">
      <c r="B39" s="34"/>
      <c r="C39" s="82" t="s">
        <v>36</v>
      </c>
      <c r="D39" s="14"/>
      <c r="E39" s="100">
        <f t="shared" ca="1" si="49"/>
        <v>28</v>
      </c>
      <c r="F39" s="100">
        <f t="shared" ca="1" si="50"/>
        <v>94</v>
      </c>
      <c r="G39" s="100">
        <f t="shared" ca="1" si="51"/>
        <v>0</v>
      </c>
      <c r="H39" s="100">
        <f t="shared" ca="1" si="52"/>
        <v>0</v>
      </c>
      <c r="I39" s="100">
        <f t="shared" ca="1" si="53"/>
        <v>0</v>
      </c>
      <c r="J39" s="113"/>
      <c r="K39" s="109">
        <f t="shared" ref="K39:AP39" ca="1" si="56">ROUND(K9-K28,0)</f>
        <v>0</v>
      </c>
      <c r="L39" s="109">
        <f t="shared" ca="1" si="56"/>
        <v>0</v>
      </c>
      <c r="M39" s="110">
        <f t="shared" ca="1" si="56"/>
        <v>0</v>
      </c>
      <c r="N39" s="110">
        <f t="shared" ca="1" si="56"/>
        <v>0</v>
      </c>
      <c r="O39" s="110">
        <f t="shared" ca="1" si="56"/>
        <v>0</v>
      </c>
      <c r="P39" s="110">
        <f t="shared" ca="1" si="56"/>
        <v>28</v>
      </c>
      <c r="Q39" s="109">
        <f t="shared" ca="1" si="56"/>
        <v>0</v>
      </c>
      <c r="R39" s="109">
        <f t="shared" ca="1" si="56"/>
        <v>0</v>
      </c>
      <c r="S39" s="109">
        <f t="shared" ca="1" si="56"/>
        <v>0</v>
      </c>
      <c r="T39" s="109">
        <f t="shared" ca="1" si="56"/>
        <v>0</v>
      </c>
      <c r="U39" s="109">
        <f t="shared" ca="1" si="56"/>
        <v>0</v>
      </c>
      <c r="V39" s="100">
        <f t="shared" ca="1" si="56"/>
        <v>0</v>
      </c>
      <c r="W39" s="109">
        <f t="shared" ca="1" si="56"/>
        <v>94</v>
      </c>
      <c r="X39" s="110">
        <f t="shared" ca="1" si="56"/>
        <v>0</v>
      </c>
      <c r="Y39" s="110">
        <f t="shared" ca="1" si="56"/>
        <v>0</v>
      </c>
      <c r="Z39" s="110">
        <f t="shared" ca="1" si="56"/>
        <v>0</v>
      </c>
      <c r="AA39" s="110">
        <f t="shared" ca="1" si="56"/>
        <v>0</v>
      </c>
      <c r="AB39" s="110">
        <f t="shared" ca="1" si="56"/>
        <v>0</v>
      </c>
      <c r="AC39" s="109">
        <f t="shared" ca="1" si="56"/>
        <v>0</v>
      </c>
      <c r="AD39" s="109">
        <f t="shared" ca="1" si="56"/>
        <v>0</v>
      </c>
      <c r="AE39" s="109">
        <f t="shared" ca="1" si="56"/>
        <v>0</v>
      </c>
      <c r="AF39" s="109">
        <f t="shared" ca="1" si="56"/>
        <v>0</v>
      </c>
      <c r="AG39" s="109">
        <f t="shared" ca="1" si="56"/>
        <v>0</v>
      </c>
      <c r="AH39" s="100">
        <f t="shared" ca="1" si="56"/>
        <v>0</v>
      </c>
      <c r="AI39" s="109">
        <f t="shared" ca="1" si="56"/>
        <v>0</v>
      </c>
      <c r="AJ39" s="110">
        <f t="shared" ca="1" si="56"/>
        <v>0</v>
      </c>
      <c r="AK39" s="110">
        <f t="shared" ca="1" si="56"/>
        <v>0</v>
      </c>
      <c r="AL39" s="110">
        <f t="shared" ca="1" si="56"/>
        <v>0</v>
      </c>
      <c r="AM39" s="110">
        <f t="shared" ca="1" si="56"/>
        <v>0</v>
      </c>
      <c r="AN39" s="110">
        <f t="shared" ca="1" si="56"/>
        <v>0</v>
      </c>
      <c r="AO39" s="109">
        <f t="shared" ca="1" si="56"/>
        <v>0</v>
      </c>
      <c r="AP39" s="109">
        <f t="shared" ca="1" si="56"/>
        <v>0</v>
      </c>
      <c r="AQ39" s="109">
        <f t="shared" ref="AQ39:BR39" ca="1" si="57">ROUND(AQ9-AQ28,0)</f>
        <v>0</v>
      </c>
      <c r="AR39" s="109">
        <f t="shared" ca="1" si="57"/>
        <v>0</v>
      </c>
      <c r="AS39" s="109">
        <f t="shared" ca="1" si="57"/>
        <v>0</v>
      </c>
      <c r="AT39" s="100">
        <f t="shared" ca="1" si="57"/>
        <v>0</v>
      </c>
      <c r="AU39" s="109">
        <f t="shared" ca="1" si="57"/>
        <v>0</v>
      </c>
      <c r="AV39" s="110">
        <f t="shared" ca="1" si="57"/>
        <v>0</v>
      </c>
      <c r="AW39" s="110">
        <f t="shared" ca="1" si="57"/>
        <v>0</v>
      </c>
      <c r="AX39" s="110">
        <f t="shared" ca="1" si="57"/>
        <v>0</v>
      </c>
      <c r="AY39" s="110">
        <f t="shared" ca="1" si="57"/>
        <v>0</v>
      </c>
      <c r="AZ39" s="110">
        <f t="shared" ca="1" si="57"/>
        <v>0</v>
      </c>
      <c r="BA39" s="109">
        <f t="shared" ca="1" si="57"/>
        <v>0</v>
      </c>
      <c r="BB39" s="109">
        <f t="shared" ca="1" si="57"/>
        <v>0</v>
      </c>
      <c r="BC39" s="109">
        <f t="shared" ca="1" si="57"/>
        <v>0</v>
      </c>
      <c r="BD39" s="109">
        <f t="shared" ca="1" si="57"/>
        <v>0</v>
      </c>
      <c r="BE39" s="109">
        <f t="shared" ca="1" si="57"/>
        <v>0</v>
      </c>
      <c r="BF39" s="100">
        <f t="shared" ca="1" si="57"/>
        <v>0</v>
      </c>
      <c r="BG39" s="109">
        <f t="shared" ca="1" si="57"/>
        <v>0</v>
      </c>
      <c r="BH39" s="110">
        <f t="shared" ca="1" si="57"/>
        <v>0</v>
      </c>
      <c r="BI39" s="110">
        <f t="shared" ca="1" si="57"/>
        <v>0</v>
      </c>
      <c r="BJ39" s="110">
        <f t="shared" ca="1" si="57"/>
        <v>0</v>
      </c>
      <c r="BK39" s="110">
        <f t="shared" ca="1" si="57"/>
        <v>0</v>
      </c>
      <c r="BL39" s="110">
        <f t="shared" ca="1" si="57"/>
        <v>0</v>
      </c>
      <c r="BM39" s="109">
        <f t="shared" ca="1" si="57"/>
        <v>0</v>
      </c>
      <c r="BN39" s="109">
        <f t="shared" ca="1" si="57"/>
        <v>0</v>
      </c>
      <c r="BO39" s="109">
        <f t="shared" ca="1" si="57"/>
        <v>0</v>
      </c>
      <c r="BP39" s="109">
        <f t="shared" ca="1" si="57"/>
        <v>0</v>
      </c>
      <c r="BQ39" s="109">
        <f t="shared" ca="1" si="57"/>
        <v>0</v>
      </c>
      <c r="BR39" s="100">
        <f t="shared" ca="1" si="57"/>
        <v>0</v>
      </c>
    </row>
    <row r="40" spans="1:70" s="75" customFormat="1" ht="13.2" x14ac:dyDescent="0.3">
      <c r="A40" s="134"/>
      <c r="C40" s="49" t="s">
        <v>106</v>
      </c>
      <c r="D40" s="77"/>
      <c r="E40" s="96">
        <f t="shared" ref="E40" ca="1" si="58">SUM(K40:V40)</f>
        <v>77.296181758417021</v>
      </c>
      <c r="F40" s="96">
        <f t="shared" ref="F40" ca="1" si="59">SUM(W40:AH40)</f>
        <v>490.47161730797046</v>
      </c>
      <c r="G40" s="96">
        <f t="shared" ref="G40" ca="1" si="60">SUM(AI40:AT40)</f>
        <v>412.47033531550346</v>
      </c>
      <c r="H40" s="96">
        <f t="shared" ref="H40" ca="1" si="61">SUM(AU40:BF40)</f>
        <v>450.62799860490048</v>
      </c>
      <c r="I40" s="96">
        <f t="shared" ref="I40" ca="1" si="62">SUM(BG40:BR40)</f>
        <v>491.05683466431418</v>
      </c>
      <c r="J40" s="133"/>
      <c r="K40" s="97">
        <f ca="1">SUM(K37:K39)</f>
        <v>-140.07666666666663</v>
      </c>
      <c r="L40" s="97">
        <f ca="1">SUM(L37:L39)</f>
        <v>28.002328663724423</v>
      </c>
      <c r="M40" s="97">
        <f t="shared" ref="M40:Y40" ca="1" si="63">SUM(M37:M39)</f>
        <v>-21.773309573955011</v>
      </c>
      <c r="N40" s="97">
        <f t="shared" ca="1" si="63"/>
        <v>28.452162777093534</v>
      </c>
      <c r="O40" s="97">
        <f t="shared" ca="1" si="63"/>
        <v>28.678750506825661</v>
      </c>
      <c r="P40" s="97">
        <f t="shared" ca="1" si="63"/>
        <v>-40.358898719588282</v>
      </c>
      <c r="Q40" s="97">
        <f t="shared" ca="1" si="63"/>
        <v>31.869934209711367</v>
      </c>
      <c r="R40" s="97">
        <f t="shared" ca="1" si="63"/>
        <v>32.099896996179652</v>
      </c>
      <c r="S40" s="97">
        <f t="shared" ca="1" si="63"/>
        <v>32.330994502344183</v>
      </c>
      <c r="T40" s="97">
        <f t="shared" ca="1" si="63"/>
        <v>32.563231608995181</v>
      </c>
      <c r="U40" s="97">
        <f t="shared" ca="1" si="63"/>
        <v>32.63661321523378</v>
      </c>
      <c r="V40" s="96">
        <f t="shared" ca="1" si="63"/>
        <v>32.87114423851915</v>
      </c>
      <c r="W40" s="97">
        <f t="shared" ca="1" si="63"/>
        <v>126.90557961471714</v>
      </c>
      <c r="X40" s="97">
        <f t="shared" ca="1" si="63"/>
        <v>33.142424298147219</v>
      </c>
      <c r="Y40" s="97">
        <f t="shared" ca="1" si="63"/>
        <v>33.38043326162952</v>
      </c>
      <c r="Z40" s="97">
        <f t="shared" ref="Z40" ca="1" si="64">SUM(Z37:Z39)</f>
        <v>33.619611496534219</v>
      </c>
      <c r="AA40" s="97">
        <f t="shared" ref="AA40" ca="1" si="65">SUM(AA37:AA39)</f>
        <v>33.859964012825245</v>
      </c>
      <c r="AB40" s="97">
        <f t="shared" ref="AB40" ca="1" si="66">SUM(AB37:AB39)</f>
        <v>34.101495839111564</v>
      </c>
      <c r="AC40" s="97">
        <f t="shared" ref="AC40" ca="1" si="67">SUM(AC37:AC39)</f>
        <v>34.344212022690705</v>
      </c>
      <c r="AD40" s="97">
        <f t="shared" ref="AD40" ca="1" si="68">SUM(AD37:AD39)</f>
        <v>31.730974772454697</v>
      </c>
      <c r="AE40" s="97">
        <f t="shared" ref="AE40" ca="1" si="69">SUM(AE37:AE39)</f>
        <v>31.976074887508233</v>
      </c>
      <c r="AF40" s="97">
        <f t="shared" ref="AF40" ca="1" si="70">SUM(AF37:AF39)</f>
        <v>32.222374614357022</v>
      </c>
      <c r="AG40" s="97">
        <f t="shared" ref="AG40" ca="1" si="71">SUM(AG37:AG39)</f>
        <v>32.469879075527203</v>
      </c>
      <c r="AH40" s="96">
        <f t="shared" ref="AH40" ca="1" si="72">SUM(AH37:AH39)</f>
        <v>32.718593412467605</v>
      </c>
      <c r="AI40" s="97">
        <f t="shared" ref="AI40" ca="1" si="73">SUM(AI37:AI39)</f>
        <v>32.968522785596804</v>
      </c>
      <c r="AJ40" s="97">
        <f t="shared" ref="AJ40" ca="1" si="74">SUM(AJ37:AJ39)</f>
        <v>33.219672374348903</v>
      </c>
      <c r="AK40" s="97">
        <f t="shared" ref="AK40:AL40" ca="1" si="75">SUM(AK37:AK39)</f>
        <v>33.472047377219837</v>
      </c>
      <c r="AL40" s="97">
        <f t="shared" ca="1" si="75"/>
        <v>33.725653011812057</v>
      </c>
      <c r="AM40" s="97">
        <f t="shared" ref="AM40" ca="1" si="76">SUM(AM37:AM39)</f>
        <v>33.980494514882331</v>
      </c>
      <c r="AN40" s="97">
        <f t="shared" ref="AN40" ca="1" si="77">SUM(AN37:AN39)</f>
        <v>34.236577142384874</v>
      </c>
      <c r="AO40" s="97">
        <f t="shared" ref="AO40" ca="1" si="78">SUM(AO37:AO39)</f>
        <v>34.493906169517899</v>
      </c>
      <c r="AP40" s="97">
        <f t="shared" ref="AP40" ca="1" si="79">SUM(AP37:AP39)</f>
        <v>34.752486890769148</v>
      </c>
      <c r="AQ40" s="97">
        <f t="shared" ref="AQ40" ca="1" si="80">SUM(AQ37:AQ39)</f>
        <v>35.012324619960282</v>
      </c>
      <c r="AR40" s="97">
        <f t="shared" ref="AR40" ca="1" si="81">SUM(AR37:AR39)</f>
        <v>35.273424690290831</v>
      </c>
      <c r="AS40" s="97">
        <f t="shared" ref="AS40" ca="1" si="82">SUM(AS37:AS39)</f>
        <v>35.535792454385266</v>
      </c>
      <c r="AT40" s="96">
        <f t="shared" ref="AT40" ca="1" si="83">SUM(AT37:AT39)</f>
        <v>35.799433284335208</v>
      </c>
      <c r="AU40" s="97">
        <f t="shared" ref="AU40" ca="1" si="84">SUM(AU37:AU39)</f>
        <v>36.064352571744365</v>
      </c>
      <c r="AV40" s="97">
        <f t="shared" ref="AV40" ca="1" si="85">SUM(AV37:AV39)</f>
        <v>36.330555727773266</v>
      </c>
      <c r="AW40" s="97">
        <f t="shared" ref="AW40" ca="1" si="86">SUM(AW37:AW39)</f>
        <v>36.598048183182335</v>
      </c>
      <c r="AX40" s="97">
        <f t="shared" ref="AX40:AY40" ca="1" si="87">SUM(AX37:AX39)</f>
        <v>36.866835388376202</v>
      </c>
      <c r="AY40" s="97">
        <f t="shared" ca="1" si="87"/>
        <v>37.136922813446191</v>
      </c>
      <c r="AZ40" s="97">
        <f t="shared" ref="AZ40" ca="1" si="88">SUM(AZ37:AZ39)</f>
        <v>37.408315948215296</v>
      </c>
      <c r="BA40" s="97">
        <f t="shared" ref="BA40" ca="1" si="89">SUM(BA37:BA39)</f>
        <v>37.68102030227945</v>
      </c>
      <c r="BB40" s="97">
        <f t="shared" ref="BB40" ca="1" si="90">SUM(BB37:BB39)</f>
        <v>37.955041405051276</v>
      </c>
      <c r="BC40" s="97">
        <f t="shared" ref="BC40" ca="1" si="91">SUM(BC37:BC39)</f>
        <v>38.230384805803425</v>
      </c>
      <c r="BD40" s="97">
        <f t="shared" ref="BD40" ca="1" si="92">SUM(BD37:BD39)</f>
        <v>38.507056073708625</v>
      </c>
      <c r="BE40" s="97">
        <f t="shared" ref="BE40" ca="1" si="93">SUM(BE37:BE39)</f>
        <v>38.785060797884967</v>
      </c>
      <c r="BF40" s="96">
        <f t="shared" ref="BF40" ca="1" si="94">SUM(BF37:BF39)</f>
        <v>39.064404587435206</v>
      </c>
      <c r="BG40" s="97">
        <f t="shared" ref="BG40" ca="1" si="95">SUM(BG37:BG39)</f>
        <v>39.34509307148943</v>
      </c>
      <c r="BH40" s="97">
        <f t="shared" ref="BH40" ca="1" si="96">SUM(BH37:BH39)</f>
        <v>39.627131899247466</v>
      </c>
      <c r="BI40" s="97">
        <f t="shared" ref="BI40" ca="1" si="97">SUM(BI37:BI39)</f>
        <v>39.910526740018085</v>
      </c>
      <c r="BJ40" s="97">
        <f t="shared" ref="BJ40" ca="1" si="98">SUM(BJ37:BJ39)</f>
        <v>40.195283283261858</v>
      </c>
      <c r="BK40" s="97">
        <f t="shared" ref="BK40:BL40" ca="1" si="99">SUM(BK37:BK39)</f>
        <v>40.481407238630098</v>
      </c>
      <c r="BL40" s="97">
        <f t="shared" ca="1" si="99"/>
        <v>40.768904336006742</v>
      </c>
      <c r="BM40" s="97">
        <f t="shared" ref="BM40" ca="1" si="100">SUM(BM37:BM39)</f>
        <v>41.05778032554722</v>
      </c>
      <c r="BN40" s="97">
        <f t="shared" ref="BN40" ca="1" si="101">SUM(BN37:BN39)</f>
        <v>41.348040977719805</v>
      </c>
      <c r="BO40" s="97">
        <f t="shared" ref="BO40" ca="1" si="102">SUM(BO37:BO39)</f>
        <v>41.639692083343625</v>
      </c>
      <c r="BP40" s="97">
        <f t="shared" ref="BP40" ca="1" si="103">SUM(BP37:BP39)</f>
        <v>41.932739453628166</v>
      </c>
      <c r="BQ40" s="97">
        <f t="shared" ref="BQ40" ca="1" si="104">SUM(BQ37:BQ39)</f>
        <v>42.227188920213642</v>
      </c>
      <c r="BR40" s="96">
        <f t="shared" ref="BR40" ca="1" si="105">SUM(BR37:BR39)</f>
        <v>42.523046335208051</v>
      </c>
    </row>
    <row r="41" spans="1:70" ht="6" customHeight="1" x14ac:dyDescent="0.25">
      <c r="A41" s="5"/>
      <c r="B41" s="5"/>
      <c r="C41" s="56"/>
      <c r="D41" s="14"/>
      <c r="E41" s="49"/>
      <c r="F41" s="49"/>
      <c r="G41" s="49"/>
      <c r="H41" s="49"/>
      <c r="I41" s="49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49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49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49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49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49"/>
    </row>
    <row r="42" spans="1:70" x14ac:dyDescent="0.25">
      <c r="C42" s="14" t="s">
        <v>179</v>
      </c>
      <c r="E42" s="103" t="str">
        <f ca="1">IF(ROUND(E33-E40,0)=0,"✔","✕")</f>
        <v>✔</v>
      </c>
      <c r="F42" s="103" t="str">
        <f ca="1">IF(ROUND(F33-F40,0)=0,"✔","✕")</f>
        <v>✔</v>
      </c>
      <c r="G42" s="103" t="str">
        <f ca="1">IF(ROUND(G33-G40,0)=0,"✔","✕")</f>
        <v>✔</v>
      </c>
      <c r="H42" s="103" t="str">
        <f ca="1">IF(ROUND(H33-H40,0)=0,"✔","✕")</f>
        <v>✔</v>
      </c>
      <c r="I42" s="103" t="str">
        <f ca="1">IF(ROUND(I33-I40,0)=0,"✔","✕")</f>
        <v>✔</v>
      </c>
      <c r="K42" s="103" t="str">
        <f t="shared" ref="K42:AP42" ca="1" si="106">IF(ROUND(K33-K40,0)=0,"✔","✕")</f>
        <v>✔</v>
      </c>
      <c r="L42" s="103" t="str">
        <f t="shared" ca="1" si="106"/>
        <v>✔</v>
      </c>
      <c r="M42" s="103" t="str">
        <f t="shared" ca="1" si="106"/>
        <v>✔</v>
      </c>
      <c r="N42" s="103" t="str">
        <f t="shared" ca="1" si="106"/>
        <v>✔</v>
      </c>
      <c r="O42" s="103" t="str">
        <f t="shared" ca="1" si="106"/>
        <v>✔</v>
      </c>
      <c r="P42" s="103" t="str">
        <f t="shared" ca="1" si="106"/>
        <v>✔</v>
      </c>
      <c r="Q42" s="103" t="str">
        <f t="shared" ca="1" si="106"/>
        <v>✔</v>
      </c>
      <c r="R42" s="103" t="str">
        <f t="shared" ca="1" si="106"/>
        <v>✔</v>
      </c>
      <c r="S42" s="103" t="str">
        <f t="shared" ca="1" si="106"/>
        <v>✔</v>
      </c>
      <c r="T42" s="103" t="str">
        <f t="shared" ca="1" si="106"/>
        <v>✔</v>
      </c>
      <c r="U42" s="103" t="str">
        <f t="shared" ca="1" si="106"/>
        <v>✔</v>
      </c>
      <c r="V42" s="103" t="str">
        <f t="shared" ca="1" si="106"/>
        <v>✔</v>
      </c>
      <c r="W42" s="103" t="str">
        <f t="shared" ca="1" si="106"/>
        <v>✔</v>
      </c>
      <c r="X42" s="103" t="str">
        <f t="shared" ca="1" si="106"/>
        <v>✔</v>
      </c>
      <c r="Y42" s="103" t="str">
        <f t="shared" ca="1" si="106"/>
        <v>✔</v>
      </c>
      <c r="Z42" s="103" t="str">
        <f t="shared" ca="1" si="106"/>
        <v>✔</v>
      </c>
      <c r="AA42" s="103" t="str">
        <f t="shared" ca="1" si="106"/>
        <v>✔</v>
      </c>
      <c r="AB42" s="103" t="str">
        <f t="shared" ca="1" si="106"/>
        <v>✔</v>
      </c>
      <c r="AC42" s="103" t="str">
        <f t="shared" ca="1" si="106"/>
        <v>✔</v>
      </c>
      <c r="AD42" s="103" t="str">
        <f t="shared" ca="1" si="106"/>
        <v>✔</v>
      </c>
      <c r="AE42" s="103" t="str">
        <f t="shared" ca="1" si="106"/>
        <v>✔</v>
      </c>
      <c r="AF42" s="103" t="str">
        <f t="shared" ca="1" si="106"/>
        <v>✔</v>
      </c>
      <c r="AG42" s="103" t="str">
        <f t="shared" ca="1" si="106"/>
        <v>✔</v>
      </c>
      <c r="AH42" s="103" t="str">
        <f t="shared" ca="1" si="106"/>
        <v>✔</v>
      </c>
      <c r="AI42" s="103" t="str">
        <f t="shared" ca="1" si="106"/>
        <v>✔</v>
      </c>
      <c r="AJ42" s="103" t="str">
        <f t="shared" ca="1" si="106"/>
        <v>✔</v>
      </c>
      <c r="AK42" s="103" t="str">
        <f t="shared" ca="1" si="106"/>
        <v>✔</v>
      </c>
      <c r="AL42" s="103" t="str">
        <f t="shared" ca="1" si="106"/>
        <v>✔</v>
      </c>
      <c r="AM42" s="103" t="str">
        <f t="shared" ca="1" si="106"/>
        <v>✔</v>
      </c>
      <c r="AN42" s="103" t="str">
        <f t="shared" ca="1" si="106"/>
        <v>✔</v>
      </c>
      <c r="AO42" s="103" t="str">
        <f t="shared" ca="1" si="106"/>
        <v>✔</v>
      </c>
      <c r="AP42" s="103" t="str">
        <f t="shared" ca="1" si="106"/>
        <v>✔</v>
      </c>
      <c r="AQ42" s="103" t="str">
        <f t="shared" ref="AQ42:BR42" ca="1" si="107">IF(ROUND(AQ33-AQ40,0)=0,"✔","✕")</f>
        <v>✔</v>
      </c>
      <c r="AR42" s="103" t="str">
        <f t="shared" ca="1" si="107"/>
        <v>✔</v>
      </c>
      <c r="AS42" s="103" t="str">
        <f t="shared" ca="1" si="107"/>
        <v>✔</v>
      </c>
      <c r="AT42" s="103" t="str">
        <f t="shared" ca="1" si="107"/>
        <v>✔</v>
      </c>
      <c r="AU42" s="103" t="str">
        <f t="shared" ca="1" si="107"/>
        <v>✔</v>
      </c>
      <c r="AV42" s="103" t="str">
        <f t="shared" ca="1" si="107"/>
        <v>✔</v>
      </c>
      <c r="AW42" s="103" t="str">
        <f t="shared" ca="1" si="107"/>
        <v>✔</v>
      </c>
      <c r="AX42" s="103" t="str">
        <f t="shared" ca="1" si="107"/>
        <v>✔</v>
      </c>
      <c r="AY42" s="103" t="str">
        <f t="shared" ca="1" si="107"/>
        <v>✔</v>
      </c>
      <c r="AZ42" s="103" t="str">
        <f t="shared" ca="1" si="107"/>
        <v>✔</v>
      </c>
      <c r="BA42" s="103" t="str">
        <f t="shared" ca="1" si="107"/>
        <v>✔</v>
      </c>
      <c r="BB42" s="103" t="str">
        <f t="shared" ca="1" si="107"/>
        <v>✔</v>
      </c>
      <c r="BC42" s="103" t="str">
        <f t="shared" ca="1" si="107"/>
        <v>✔</v>
      </c>
      <c r="BD42" s="103" t="str">
        <f t="shared" ca="1" si="107"/>
        <v>✔</v>
      </c>
      <c r="BE42" s="103" t="str">
        <f t="shared" ca="1" si="107"/>
        <v>✔</v>
      </c>
      <c r="BF42" s="103" t="str">
        <f t="shared" ca="1" si="107"/>
        <v>✔</v>
      </c>
      <c r="BG42" s="103" t="str">
        <f t="shared" ca="1" si="107"/>
        <v>✔</v>
      </c>
      <c r="BH42" s="103" t="str">
        <f t="shared" ca="1" si="107"/>
        <v>✔</v>
      </c>
      <c r="BI42" s="103" t="str">
        <f t="shared" ca="1" si="107"/>
        <v>✔</v>
      </c>
      <c r="BJ42" s="103" t="str">
        <f t="shared" ca="1" si="107"/>
        <v>✔</v>
      </c>
      <c r="BK42" s="103" t="str">
        <f t="shared" ca="1" si="107"/>
        <v>✔</v>
      </c>
      <c r="BL42" s="103" t="str">
        <f t="shared" ca="1" si="107"/>
        <v>✔</v>
      </c>
      <c r="BM42" s="103" t="str">
        <f t="shared" ca="1" si="107"/>
        <v>✔</v>
      </c>
      <c r="BN42" s="103" t="str">
        <f t="shared" ca="1" si="107"/>
        <v>✔</v>
      </c>
      <c r="BO42" s="103" t="str">
        <f t="shared" ca="1" si="107"/>
        <v>✔</v>
      </c>
      <c r="BP42" s="103" t="str">
        <f t="shared" ca="1" si="107"/>
        <v>✔</v>
      </c>
      <c r="BQ42" s="103" t="str">
        <f t="shared" ca="1" si="107"/>
        <v>✔</v>
      </c>
      <c r="BR42" s="103" t="str">
        <f t="shared" ca="1" si="107"/>
        <v>✔</v>
      </c>
    </row>
    <row r="43" spans="1:70" ht="13.2" x14ac:dyDescent="0.3">
      <c r="BB43" s="204"/>
    </row>
  </sheetData>
  <sheetProtection algorithmName="SHA-512" hashValue="EZg1A/DXlCziyAig59acQUdPY+4DeMzvPOt+7JRiof0ID52yUvE/P1/Zl3gQu/qwHJp/0qMLOakJ8Y2AVfxahg==" saltValue="zCQhK3jCoBF3u5YBiFSuUg==" spinCount="100000" sheet="1" objects="1" scenarios="1" selectLockedCells="1" selectUnlockedCells="1"/>
  <conditionalFormatting sqref="E42:I42">
    <cfRule type="expression" dxfId="1" priority="1">
      <formula>IF(E42="✕",TRUE,FALSE)</formula>
    </cfRule>
  </conditionalFormatting>
  <conditionalFormatting sqref="K42:BR42">
    <cfRule type="expression" dxfId="0" priority="2">
      <formula>IF(K42="✕",TRUE,FALSE)</formula>
    </cfRule>
  </conditionalFormatting>
  <printOptions horizontalCentered="1"/>
  <pageMargins left="0.5" right="0.5" top="0.75" bottom="0.5" header="0.3" footer="0.3"/>
  <pageSetup fitToWidth="5" orientation="landscape" r:id="rId1"/>
  <headerFooter scaleWithDoc="0" alignWithMargins="0">
    <oddFooter>&amp;L&amp;10Line of Credit, p.&amp;P of &amp;N&amp;R&amp;10Updated &amp;D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85A39-82C7-4E17-BF7D-0B685830A543}">
  <sheetPr codeName="Sheet8">
    <tabColor theme="9" tint="0.79998168889431442"/>
    <outlinePr showOutlineSymbols="0"/>
    <pageSetUpPr fitToPage="1"/>
  </sheetPr>
  <dimension ref="A1:BW27"/>
  <sheetViews>
    <sheetView showGridLines="0" showRowColHeaders="0" showZeros="0" showOutlineSymbols="0" zoomScaleNormal="100" zoomScaleSheetLayoutView="100" workbookViewId="0">
      <pane xSplit="3" ySplit="3" topLeftCell="D4" activePane="bottomRight" state="frozen"/>
      <selection activeCell="A2" sqref="A2:A3"/>
      <selection pane="topRight" activeCell="A2" sqref="A2:A3"/>
      <selection pane="bottomLeft" activeCell="A2" sqref="A2:A3"/>
      <selection pane="bottomRight"/>
    </sheetView>
  </sheetViews>
  <sheetFormatPr defaultColWidth="9.109375" defaultRowHeight="12.6" x14ac:dyDescent="0.25"/>
  <cols>
    <col min="1" max="1" width="3" style="5" customWidth="1"/>
    <col min="2" max="2" width="1.6640625" style="5" customWidth="1"/>
    <col min="3" max="3" width="21.88671875" style="14" customWidth="1"/>
    <col min="4" max="4" width="1.109375" style="16" customWidth="1"/>
    <col min="5" max="5" width="4.44140625" style="16" customWidth="1"/>
    <col min="6" max="6" width="3.88671875" style="16" customWidth="1"/>
    <col min="7" max="7" width="4.44140625" style="16" customWidth="1"/>
    <col min="8" max="8" width="3.88671875" style="16" customWidth="1"/>
    <col min="9" max="9" width="4.44140625" style="16" customWidth="1"/>
    <col min="10" max="10" width="3.88671875" style="16" customWidth="1"/>
    <col min="11" max="11" width="4.44140625" style="16" customWidth="1"/>
    <col min="12" max="12" width="3.88671875" style="16" customWidth="1"/>
    <col min="13" max="13" width="4.44140625" style="16" customWidth="1"/>
    <col min="14" max="14" width="3.88671875" style="16" customWidth="1"/>
    <col min="15" max="15" width="2.21875" style="34" customWidth="1"/>
    <col min="16" max="16" width="8.33203125" style="16" customWidth="1"/>
    <col min="17" max="17" width="8.33203125" style="34" customWidth="1"/>
    <col min="18" max="28" width="8.33203125" style="16" customWidth="1"/>
    <col min="29" max="29" width="8.33203125" style="34" customWidth="1"/>
    <col min="30" max="40" width="8.33203125" style="16" customWidth="1"/>
    <col min="41" max="41" width="8.33203125" style="34" customWidth="1"/>
    <col min="42" max="52" width="8.33203125" style="16" customWidth="1"/>
    <col min="53" max="53" width="8.33203125" style="34" customWidth="1"/>
    <col min="54" max="60" width="8.33203125" style="16" customWidth="1"/>
    <col min="61" max="75" width="8.33203125" style="14" customWidth="1"/>
    <col min="76" max="16384" width="9.109375" style="14"/>
  </cols>
  <sheetData>
    <row r="1" spans="1:75" s="2" customFormat="1" ht="10.199999999999999" x14ac:dyDescent="0.2">
      <c r="A1" s="1" t="s">
        <v>0</v>
      </c>
      <c r="N1" s="3"/>
      <c r="R1" s="4"/>
      <c r="T1" s="4"/>
    </row>
    <row r="2" spans="1:75" s="5" customFormat="1" ht="21" customHeight="1" x14ac:dyDescent="0.2">
      <c r="B2" s="41"/>
      <c r="D2" s="36"/>
      <c r="E2" s="36"/>
      <c r="F2" s="36"/>
      <c r="G2" s="36"/>
      <c r="H2" s="36"/>
      <c r="I2" s="36"/>
      <c r="J2" s="36"/>
    </row>
    <row r="3" spans="1:75" s="38" customFormat="1" ht="19.8" x14ac:dyDescent="0.4">
      <c r="A3" s="37"/>
      <c r="C3" s="7" t="s">
        <v>37</v>
      </c>
      <c r="D3" s="45"/>
      <c r="E3" s="388">
        <v>1</v>
      </c>
      <c r="F3" s="388"/>
      <c r="G3" s="388">
        <v>2</v>
      </c>
      <c r="H3" s="388"/>
      <c r="I3" s="388">
        <v>3</v>
      </c>
      <c r="J3" s="388"/>
      <c r="K3" s="388">
        <v>4</v>
      </c>
      <c r="L3" s="388"/>
      <c r="M3" s="388">
        <v>5</v>
      </c>
      <c r="N3" s="388"/>
      <c r="P3" s="11">
        <v>1</v>
      </c>
      <c r="Q3" s="11">
        <v>2</v>
      </c>
      <c r="R3" s="11">
        <v>3</v>
      </c>
      <c r="S3" s="11">
        <v>4</v>
      </c>
      <c r="T3" s="11">
        <v>5</v>
      </c>
      <c r="U3" s="11">
        <v>6</v>
      </c>
      <c r="V3" s="11">
        <v>7</v>
      </c>
      <c r="W3" s="11">
        <v>8</v>
      </c>
      <c r="X3" s="11">
        <v>9</v>
      </c>
      <c r="Y3" s="11">
        <v>10</v>
      </c>
      <c r="Z3" s="11">
        <v>11</v>
      </c>
      <c r="AA3" s="47">
        <v>12</v>
      </c>
      <c r="AB3" s="11">
        <v>13</v>
      </c>
      <c r="AC3" s="11">
        <v>14</v>
      </c>
      <c r="AD3" s="11">
        <v>15</v>
      </c>
      <c r="AE3" s="11">
        <v>16</v>
      </c>
      <c r="AF3" s="11">
        <v>17</v>
      </c>
      <c r="AG3" s="11">
        <v>18</v>
      </c>
      <c r="AH3" s="11">
        <v>19</v>
      </c>
      <c r="AI3" s="11">
        <v>20</v>
      </c>
      <c r="AJ3" s="11">
        <v>21</v>
      </c>
      <c r="AK3" s="11">
        <v>22</v>
      </c>
      <c r="AL3" s="11">
        <v>23</v>
      </c>
      <c r="AM3" s="47">
        <v>24</v>
      </c>
      <c r="AN3" s="11">
        <v>25</v>
      </c>
      <c r="AO3" s="11">
        <v>26</v>
      </c>
      <c r="AP3" s="11">
        <v>27</v>
      </c>
      <c r="AQ3" s="11">
        <v>28</v>
      </c>
      <c r="AR3" s="11">
        <v>29</v>
      </c>
      <c r="AS3" s="11">
        <v>30</v>
      </c>
      <c r="AT3" s="11">
        <v>31</v>
      </c>
      <c r="AU3" s="11">
        <v>32</v>
      </c>
      <c r="AV3" s="11">
        <v>33</v>
      </c>
      <c r="AW3" s="11">
        <v>34</v>
      </c>
      <c r="AX3" s="11">
        <v>35</v>
      </c>
      <c r="AY3" s="47">
        <v>36</v>
      </c>
      <c r="AZ3" s="11">
        <v>37</v>
      </c>
      <c r="BA3" s="11">
        <v>38</v>
      </c>
      <c r="BB3" s="11">
        <v>39</v>
      </c>
      <c r="BC3" s="11">
        <v>40</v>
      </c>
      <c r="BD3" s="11">
        <v>41</v>
      </c>
      <c r="BE3" s="11">
        <v>42</v>
      </c>
      <c r="BF3" s="11">
        <v>43</v>
      </c>
      <c r="BG3" s="11">
        <v>44</v>
      </c>
      <c r="BH3" s="11">
        <v>45</v>
      </c>
      <c r="BI3" s="11">
        <v>46</v>
      </c>
      <c r="BJ3" s="11">
        <v>47</v>
      </c>
      <c r="BK3" s="47">
        <v>48</v>
      </c>
      <c r="BL3" s="11">
        <v>49</v>
      </c>
      <c r="BM3" s="11">
        <v>50</v>
      </c>
      <c r="BN3" s="11">
        <v>51</v>
      </c>
      <c r="BO3" s="11">
        <v>52</v>
      </c>
      <c r="BP3" s="11">
        <v>53</v>
      </c>
      <c r="BQ3" s="11">
        <v>54</v>
      </c>
      <c r="BR3" s="11">
        <v>55</v>
      </c>
      <c r="BS3" s="11">
        <v>56</v>
      </c>
      <c r="BT3" s="11">
        <v>57</v>
      </c>
      <c r="BU3" s="11">
        <v>58</v>
      </c>
      <c r="BV3" s="11">
        <v>59</v>
      </c>
      <c r="BW3" s="47">
        <v>60</v>
      </c>
    </row>
    <row r="4" spans="1:75" ht="6" customHeight="1" x14ac:dyDescent="0.25">
      <c r="A4" s="13"/>
      <c r="B4" s="79"/>
      <c r="D4" s="14"/>
      <c r="E4" s="48"/>
      <c r="F4" s="48"/>
      <c r="G4" s="48"/>
      <c r="H4" s="48"/>
      <c r="I4" s="48"/>
      <c r="J4" s="88"/>
      <c r="O4" s="16"/>
      <c r="Q4" s="16"/>
      <c r="V4" s="48"/>
      <c r="AC4" s="16"/>
      <c r="AH4" s="48"/>
      <c r="AO4" s="16"/>
      <c r="AT4" s="48"/>
      <c r="BA4" s="16"/>
      <c r="BF4" s="48"/>
      <c r="BI4" s="16"/>
      <c r="BJ4" s="16"/>
      <c r="BK4" s="16"/>
      <c r="BL4" s="16"/>
      <c r="BM4" s="16"/>
      <c r="BN4" s="16"/>
      <c r="BO4" s="16"/>
      <c r="BP4" s="16"/>
      <c r="BQ4" s="16"/>
      <c r="BR4" s="48"/>
    </row>
    <row r="5" spans="1:75" x14ac:dyDescent="0.25">
      <c r="C5" s="49" t="s">
        <v>46</v>
      </c>
      <c r="D5" s="14"/>
      <c r="E5" s="387"/>
      <c r="F5" s="387"/>
      <c r="G5" s="387"/>
      <c r="H5" s="387"/>
      <c r="I5" s="387"/>
      <c r="J5" s="387"/>
      <c r="K5" s="387"/>
      <c r="L5" s="387"/>
      <c r="M5" s="387"/>
      <c r="N5" s="387"/>
      <c r="P5" s="14"/>
      <c r="Q5" s="14"/>
      <c r="R5" s="14"/>
      <c r="S5" s="14"/>
      <c r="T5" s="14"/>
      <c r="U5" s="14"/>
      <c r="AC5" s="16"/>
      <c r="AG5" s="34"/>
      <c r="AO5" s="16"/>
      <c r="AS5" s="34"/>
      <c r="BA5" s="16"/>
      <c r="BE5" s="34"/>
      <c r="BI5" s="16"/>
      <c r="BJ5" s="16"/>
      <c r="BK5" s="16"/>
      <c r="BL5" s="16"/>
      <c r="BM5" s="16"/>
      <c r="BN5" s="16"/>
      <c r="BO5" s="16"/>
      <c r="BP5" s="16"/>
      <c r="BQ5" s="34"/>
      <c r="BR5" s="16"/>
      <c r="BS5" s="16"/>
      <c r="BT5" s="16"/>
      <c r="BU5" s="16"/>
      <c r="BV5" s="16"/>
      <c r="BW5" s="16"/>
    </row>
    <row r="6" spans="1:75" x14ac:dyDescent="0.25">
      <c r="A6" s="37"/>
      <c r="B6" s="37"/>
      <c r="C6" s="50" t="s">
        <v>24</v>
      </c>
      <c r="D6" s="34"/>
      <c r="E6" s="381">
        <f>SUM(P6:AA6)</f>
        <v>559.81390816377632</v>
      </c>
      <c r="F6" s="381"/>
      <c r="G6" s="381">
        <f>SUM(AB6:AM6)</f>
        <v>622.83232642789631</v>
      </c>
      <c r="H6" s="381"/>
      <c r="I6" s="381">
        <f>SUM(AN6:AY6)</f>
        <v>735.53559873193296</v>
      </c>
      <c r="J6" s="381"/>
      <c r="K6" s="381">
        <f>SUM(AZ6:BK6)</f>
        <v>802.13284907303216</v>
      </c>
      <c r="L6" s="381"/>
      <c r="M6" s="381">
        <f>SUM(BL6:BW6)</f>
        <v>872.84467619435384</v>
      </c>
      <c r="N6" s="381"/>
      <c r="P6" s="34">
        <f>Income!K20</f>
        <v>48.58333333333335</v>
      </c>
      <c r="Q6" s="34">
        <f>Income!L20</f>
        <v>48.970829329259637</v>
      </c>
      <c r="R6" s="34">
        <f>Income!M20</f>
        <v>49.360300853009441</v>
      </c>
      <c r="S6" s="34">
        <f>Income!N20</f>
        <v>49.751757043560893</v>
      </c>
      <c r="T6" s="34">
        <f>Income!O20</f>
        <v>50.145207080738835</v>
      </c>
      <c r="U6" s="34">
        <f>Income!P20</f>
        <v>43.397803042537163</v>
      </c>
      <c r="V6" s="51">
        <f>Income!Q20</f>
        <v>43.795268476728594</v>
      </c>
      <c r="W6" s="51">
        <f>Income!R20</f>
        <v>44.194755543902431</v>
      </c>
      <c r="X6" s="51">
        <f>Income!S20</f>
        <v>44.596273589075821</v>
      </c>
      <c r="Y6" s="51">
        <f>Income!T20</f>
        <v>44.999831999019278</v>
      </c>
      <c r="Z6" s="51">
        <f>Income!U20</f>
        <v>45.805440202440813</v>
      </c>
      <c r="AA6" s="32">
        <f>Income!V20</f>
        <v>46.213107670170082</v>
      </c>
      <c r="AB6" s="34">
        <f>Income!W20</f>
        <v>46.622843915343928</v>
      </c>
      <c r="AC6" s="51">
        <f>Income!X20</f>
        <v>47.034658493592737</v>
      </c>
      <c r="AD6" s="51">
        <f>Income!Y20</f>
        <v>47.448561003227177</v>
      </c>
      <c r="AE6" s="51">
        <f>Income!Z20</f>
        <v>47.86456108542594</v>
      </c>
      <c r="AF6" s="51">
        <f>Income!AA20</f>
        <v>48.28266842442482</v>
      </c>
      <c r="AG6" s="51">
        <f>Income!AB20</f>
        <v>48.702892747705697</v>
      </c>
      <c r="AH6" s="51">
        <f>Income!AC20</f>
        <v>49.125243826186995</v>
      </c>
      <c r="AI6" s="51">
        <f>Income!AD20</f>
        <v>56.692588617272136</v>
      </c>
      <c r="AJ6" s="51">
        <f>Income!AE20</f>
        <v>57.119222693612357</v>
      </c>
      <c r="AK6" s="51">
        <f>Income!AF20</f>
        <v>57.5480131004431</v>
      </c>
      <c r="AL6" s="51">
        <f>Income!AG20</f>
        <v>57.978969784348408</v>
      </c>
      <c r="AM6" s="32">
        <f>Income!AH20</f>
        <v>58.412102736312988</v>
      </c>
      <c r="AN6" s="34">
        <f>Income!AI20</f>
        <v>58.847421991917315</v>
      </c>
      <c r="AO6" s="51">
        <f>Income!AJ20</f>
        <v>59.284937631533808</v>
      </c>
      <c r="AP6" s="51">
        <f>Income!AK20</f>
        <v>59.724659780523737</v>
      </c>
      <c r="AQ6" s="51">
        <f>Income!AL20</f>
        <v>60.166598609435908</v>
      </c>
      <c r="AR6" s="51">
        <f>Income!AM20</f>
        <v>60.610764334204077</v>
      </c>
      <c r="AS6" s="51">
        <f>Income!AN20</f>
        <v>61.057167216347523</v>
      </c>
      <c r="AT6" s="51">
        <f>Income!AO20</f>
        <v>61.505817563171618</v>
      </c>
      <c r="AU6" s="51">
        <f>Income!AP20</f>
        <v>61.956725727968504</v>
      </c>
      <c r="AV6" s="51">
        <f>Income!AQ20</f>
        <v>62.409902110219804</v>
      </c>
      <c r="AW6" s="51">
        <f>Income!AR20</f>
        <v>62.865357155799956</v>
      </c>
      <c r="AX6" s="51">
        <f>Income!AS20</f>
        <v>63.323101357179581</v>
      </c>
      <c r="AY6" s="32">
        <f>Income!AT20</f>
        <v>63.783145253631105</v>
      </c>
      <c r="AZ6" s="34">
        <f>Income!AU20</f>
        <v>64.245499431433927</v>
      </c>
      <c r="BA6" s="51">
        <f>Income!AV20</f>
        <v>64.71017452408168</v>
      </c>
      <c r="BB6" s="51">
        <f>Income!AW20</f>
        <v>65.177181212489586</v>
      </c>
      <c r="BC6" s="51">
        <f>Income!AX20</f>
        <v>65.646530225202525</v>
      </c>
      <c r="BD6" s="51">
        <f>Income!AY20</f>
        <v>66.118232338605623</v>
      </c>
      <c r="BE6" s="51">
        <f>Income!AZ20</f>
        <v>66.592298377133147</v>
      </c>
      <c r="BF6" s="51">
        <f>Income!BA20</f>
        <v>67.068739213481081</v>
      </c>
      <c r="BG6" s="51">
        <f>Income!BB20</f>
        <v>67.547565768818373</v>
      </c>
      <c r="BH6" s="51">
        <f>Income!BC20</f>
        <v>68.028789013000264</v>
      </c>
      <c r="BI6" s="51">
        <f>Income!BD20</f>
        <v>68.51241996478285</v>
      </c>
      <c r="BJ6" s="51">
        <f>Income!BE20</f>
        <v>68.998469692037219</v>
      </c>
      <c r="BK6" s="32">
        <f>Income!BF20</f>
        <v>69.486949311965859</v>
      </c>
      <c r="BL6" s="34">
        <f>Income!BG20</f>
        <v>69.977869991319693</v>
      </c>
      <c r="BM6" s="51">
        <f>Income!BH20</f>
        <v>70.471242946615092</v>
      </c>
      <c r="BN6" s="51">
        <f>Income!BI20</f>
        <v>70.967079444353629</v>
      </c>
      <c r="BO6" s="51">
        <f>Income!BJ20</f>
        <v>71.465390801241057</v>
      </c>
      <c r="BP6" s="51">
        <f>Income!BK20</f>
        <v>71.966188384408156</v>
      </c>
      <c r="BQ6" s="51">
        <f>Income!BL20</f>
        <v>72.469483611632143</v>
      </c>
      <c r="BR6" s="51">
        <f>Income!BM20</f>
        <v>72.975287951560205</v>
      </c>
      <c r="BS6" s="51">
        <f>Income!BN20</f>
        <v>73.483612923931759</v>
      </c>
      <c r="BT6" s="51">
        <f>Income!BO20</f>
        <v>73.994470099803635</v>
      </c>
      <c r="BU6" s="51">
        <f>Income!BP20</f>
        <v>74.507871101775891</v>
      </c>
      <c r="BV6" s="51">
        <f>Income!BQ20</f>
        <v>75.023827604217615</v>
      </c>
      <c r="BW6" s="32">
        <f>Income!BR20</f>
        <v>75.542351333495091</v>
      </c>
    </row>
    <row r="7" spans="1:75" x14ac:dyDescent="0.25">
      <c r="A7" s="13"/>
      <c r="B7" s="37"/>
      <c r="C7" s="52" t="s">
        <v>47</v>
      </c>
      <c r="D7" s="53"/>
      <c r="E7" s="386">
        <f>SUM(P7:AA7)</f>
        <v>223.92556326551056</v>
      </c>
      <c r="F7" s="386"/>
      <c r="G7" s="386">
        <f>SUM(AB7:AM7)</f>
        <v>249.13293057115857</v>
      </c>
      <c r="H7" s="386"/>
      <c r="I7" s="386">
        <f>SUM(AN7:AY7)</f>
        <v>294.21423949277317</v>
      </c>
      <c r="J7" s="386"/>
      <c r="K7" s="386">
        <f>SUM(AZ7:BK7)</f>
        <v>320.85313962921282</v>
      </c>
      <c r="L7" s="386"/>
      <c r="M7" s="386">
        <f>SUM(BL7:BW7)</f>
        <v>349.13787047774161</v>
      </c>
      <c r="N7" s="386"/>
      <c r="P7" s="53">
        <f t="shared" ref="P7:U7" si="0">P6*Taxes</f>
        <v>19.433333333333341</v>
      </c>
      <c r="Q7" s="53">
        <f t="shared" si="0"/>
        <v>19.588331731703857</v>
      </c>
      <c r="R7" s="53">
        <f t="shared" si="0"/>
        <v>19.744120341203779</v>
      </c>
      <c r="S7" s="53">
        <f t="shared" si="0"/>
        <v>19.90070281742436</v>
      </c>
      <c r="T7" s="53">
        <f t="shared" si="0"/>
        <v>20.058082832295536</v>
      </c>
      <c r="U7" s="53">
        <f t="shared" si="0"/>
        <v>17.359121217014867</v>
      </c>
      <c r="V7" s="53">
        <f t="shared" ref="V7:BA7" si="1">V6*Taxes</f>
        <v>17.518107390691437</v>
      </c>
      <c r="W7" s="53">
        <f t="shared" si="1"/>
        <v>17.677902217560973</v>
      </c>
      <c r="X7" s="53">
        <f t="shared" si="1"/>
        <v>17.838509435630328</v>
      </c>
      <c r="Y7" s="54">
        <f t="shared" si="1"/>
        <v>17.999932799607713</v>
      </c>
      <c r="Z7" s="54">
        <f t="shared" si="1"/>
        <v>18.322176080976327</v>
      </c>
      <c r="AA7" s="55">
        <f t="shared" si="1"/>
        <v>18.485243068068034</v>
      </c>
      <c r="AB7" s="54">
        <f t="shared" si="1"/>
        <v>18.649137566137572</v>
      </c>
      <c r="AC7" s="54">
        <f t="shared" si="1"/>
        <v>18.813863397437096</v>
      </c>
      <c r="AD7" s="54">
        <f t="shared" si="1"/>
        <v>18.979424401290871</v>
      </c>
      <c r="AE7" s="54">
        <f t="shared" si="1"/>
        <v>19.145824434170375</v>
      </c>
      <c r="AF7" s="54">
        <f t="shared" si="1"/>
        <v>19.313067369769929</v>
      </c>
      <c r="AG7" s="54">
        <f t="shared" si="1"/>
        <v>19.481157099082282</v>
      </c>
      <c r="AH7" s="54">
        <f t="shared" si="1"/>
        <v>19.650097530474799</v>
      </c>
      <c r="AI7" s="54">
        <f t="shared" si="1"/>
        <v>22.677035446908857</v>
      </c>
      <c r="AJ7" s="54">
        <f t="shared" si="1"/>
        <v>22.847689077444944</v>
      </c>
      <c r="AK7" s="54">
        <f t="shared" si="1"/>
        <v>23.019205240177243</v>
      </c>
      <c r="AL7" s="54">
        <f t="shared" si="1"/>
        <v>23.191587913739365</v>
      </c>
      <c r="AM7" s="55">
        <f t="shared" si="1"/>
        <v>23.364841094525197</v>
      </c>
      <c r="AN7" s="54">
        <f t="shared" si="1"/>
        <v>23.538968796766927</v>
      </c>
      <c r="AO7" s="54">
        <f t="shared" si="1"/>
        <v>23.713975052613524</v>
      </c>
      <c r="AP7" s="54">
        <f t="shared" si="1"/>
        <v>23.889863912209496</v>
      </c>
      <c r="AQ7" s="54">
        <f t="shared" si="1"/>
        <v>24.066639443774363</v>
      </c>
      <c r="AR7" s="54">
        <f t="shared" si="1"/>
        <v>24.244305733681632</v>
      </c>
      <c r="AS7" s="54">
        <f t="shared" si="1"/>
        <v>24.422866886539012</v>
      </c>
      <c r="AT7" s="54">
        <f t="shared" si="1"/>
        <v>24.60232702526865</v>
      </c>
      <c r="AU7" s="54">
        <f t="shared" si="1"/>
        <v>24.782690291187404</v>
      </c>
      <c r="AV7" s="54">
        <f t="shared" si="1"/>
        <v>24.963960844087921</v>
      </c>
      <c r="AW7" s="54">
        <f t="shared" si="1"/>
        <v>25.146142862319984</v>
      </c>
      <c r="AX7" s="54">
        <f t="shared" si="1"/>
        <v>25.329240542871833</v>
      </c>
      <c r="AY7" s="55">
        <f t="shared" si="1"/>
        <v>25.513258101452443</v>
      </c>
      <c r="AZ7" s="54">
        <f t="shared" si="1"/>
        <v>25.698199772573574</v>
      </c>
      <c r="BA7" s="54">
        <f t="shared" si="1"/>
        <v>25.884069809632674</v>
      </c>
      <c r="BB7" s="54">
        <f t="shared" ref="BB7:BW7" si="2">BB6*Taxes</f>
        <v>26.070872484995835</v>
      </c>
      <c r="BC7" s="54">
        <f t="shared" si="2"/>
        <v>26.258612090081012</v>
      </c>
      <c r="BD7" s="54">
        <f t="shared" si="2"/>
        <v>26.447292935442249</v>
      </c>
      <c r="BE7" s="54">
        <f t="shared" si="2"/>
        <v>26.636919350853262</v>
      </c>
      <c r="BF7" s="54">
        <f t="shared" si="2"/>
        <v>26.827495685392435</v>
      </c>
      <c r="BG7" s="54">
        <f t="shared" si="2"/>
        <v>27.019026307527351</v>
      </c>
      <c r="BH7" s="54">
        <f t="shared" si="2"/>
        <v>27.211515605200105</v>
      </c>
      <c r="BI7" s="54">
        <f t="shared" si="2"/>
        <v>27.404967985913142</v>
      </c>
      <c r="BJ7" s="54">
        <f t="shared" si="2"/>
        <v>27.599387876814887</v>
      </c>
      <c r="BK7" s="55">
        <f t="shared" si="2"/>
        <v>27.794779724786345</v>
      </c>
      <c r="BL7" s="54">
        <f t="shared" si="2"/>
        <v>27.991147996527879</v>
      </c>
      <c r="BM7" s="54">
        <f t="shared" si="2"/>
        <v>28.188497178646038</v>
      </c>
      <c r="BN7" s="54">
        <f t="shared" si="2"/>
        <v>28.386831777741452</v>
      </c>
      <c r="BO7" s="54">
        <f t="shared" si="2"/>
        <v>28.586156320496425</v>
      </c>
      <c r="BP7" s="54">
        <f t="shared" si="2"/>
        <v>28.786475353763265</v>
      </c>
      <c r="BQ7" s="54">
        <f t="shared" si="2"/>
        <v>28.987793444652858</v>
      </c>
      <c r="BR7" s="54">
        <f t="shared" si="2"/>
        <v>29.190115180624083</v>
      </c>
      <c r="BS7" s="54">
        <f t="shared" si="2"/>
        <v>29.393445169572704</v>
      </c>
      <c r="BT7" s="54">
        <f t="shared" si="2"/>
        <v>29.597788039921454</v>
      </c>
      <c r="BU7" s="54">
        <f t="shared" si="2"/>
        <v>29.803148440710359</v>
      </c>
      <c r="BV7" s="54">
        <f t="shared" si="2"/>
        <v>30.009531041687048</v>
      </c>
      <c r="BW7" s="55">
        <f t="shared" si="2"/>
        <v>30.216940533398038</v>
      </c>
    </row>
    <row r="8" spans="1:75" x14ac:dyDescent="0.25">
      <c r="A8" s="13"/>
      <c r="B8" s="37"/>
      <c r="C8" s="56" t="s">
        <v>44</v>
      </c>
      <c r="D8" s="14"/>
      <c r="E8" s="387">
        <f t="shared" ref="E8:E10" si="3">SUM(P8:AA8)</f>
        <v>335.88834489826581</v>
      </c>
      <c r="F8" s="387"/>
      <c r="G8" s="387">
        <f t="shared" ref="G8:G10" si="4">SUM(AB8:AM8)</f>
        <v>373.69939585673768</v>
      </c>
      <c r="H8" s="387"/>
      <c r="I8" s="387">
        <f t="shared" ref="I8:I10" si="5">SUM(AN8:AY8)</f>
        <v>441.32135923915979</v>
      </c>
      <c r="J8" s="387"/>
      <c r="K8" s="387">
        <f t="shared" ref="K8:K10" si="6">SUM(AZ8:BK8)</f>
        <v>481.27970944381929</v>
      </c>
      <c r="L8" s="387"/>
      <c r="M8" s="387">
        <f t="shared" ref="M8:M10" si="7">SUM(BL8:BW8)</f>
        <v>523.70680571661239</v>
      </c>
      <c r="N8" s="387"/>
      <c r="P8" s="14">
        <f t="shared" ref="P8:BW8" si="8">P6-P7</f>
        <v>29.150000000000009</v>
      </c>
      <c r="Q8" s="14">
        <f t="shared" si="8"/>
        <v>29.38249759755578</v>
      </c>
      <c r="R8" s="14">
        <f t="shared" si="8"/>
        <v>29.616180511805663</v>
      </c>
      <c r="S8" s="14">
        <f t="shared" si="8"/>
        <v>29.851054226136533</v>
      </c>
      <c r="T8" s="14">
        <f t="shared" si="8"/>
        <v>30.087124248443299</v>
      </c>
      <c r="U8" s="57">
        <f t="shared" si="8"/>
        <v>26.038681825522296</v>
      </c>
      <c r="V8" s="14">
        <f t="shared" si="8"/>
        <v>26.277161086037157</v>
      </c>
      <c r="W8" s="14">
        <f t="shared" si="8"/>
        <v>26.516853326341458</v>
      </c>
      <c r="X8" s="14">
        <f t="shared" si="8"/>
        <v>26.757764153445493</v>
      </c>
      <c r="Y8" s="14">
        <f t="shared" si="8"/>
        <v>26.999899199411566</v>
      </c>
      <c r="Z8" s="14">
        <f t="shared" si="8"/>
        <v>27.483264121464487</v>
      </c>
      <c r="AA8" s="14">
        <f t="shared" si="8"/>
        <v>27.727864602102049</v>
      </c>
      <c r="AB8" s="14">
        <f t="shared" si="8"/>
        <v>27.973706349206356</v>
      </c>
      <c r="AC8" s="14">
        <f t="shared" si="8"/>
        <v>28.220795096155641</v>
      </c>
      <c r="AD8" s="14">
        <f t="shared" si="8"/>
        <v>28.469136601936306</v>
      </c>
      <c r="AE8" s="14">
        <f t="shared" si="8"/>
        <v>28.718736651255565</v>
      </c>
      <c r="AF8" s="14">
        <f t="shared" si="8"/>
        <v>28.969601054654891</v>
      </c>
      <c r="AG8" s="14">
        <f t="shared" si="8"/>
        <v>29.221735648623415</v>
      </c>
      <c r="AH8" s="14">
        <f t="shared" si="8"/>
        <v>29.475146295712197</v>
      </c>
      <c r="AI8" s="14">
        <f t="shared" si="8"/>
        <v>34.015553170363276</v>
      </c>
      <c r="AJ8" s="14">
        <f t="shared" si="8"/>
        <v>34.271533616167417</v>
      </c>
      <c r="AK8" s="14">
        <f t="shared" si="8"/>
        <v>34.528807860265857</v>
      </c>
      <c r="AL8" s="14">
        <f t="shared" si="8"/>
        <v>34.787381870609039</v>
      </c>
      <c r="AM8" s="14">
        <f t="shared" si="8"/>
        <v>35.047261641787792</v>
      </c>
      <c r="AN8" s="14">
        <f t="shared" si="8"/>
        <v>35.308453195150392</v>
      </c>
      <c r="AO8" s="14">
        <f t="shared" si="8"/>
        <v>35.570962578920287</v>
      </c>
      <c r="AP8" s="14">
        <f t="shared" si="8"/>
        <v>35.834795868314245</v>
      </c>
      <c r="AQ8" s="14">
        <f t="shared" si="8"/>
        <v>36.099959165661545</v>
      </c>
      <c r="AR8" s="14">
        <f t="shared" si="8"/>
        <v>36.366458600522449</v>
      </c>
      <c r="AS8" s="14">
        <f t="shared" si="8"/>
        <v>36.634300329808511</v>
      </c>
      <c r="AT8" s="14">
        <f t="shared" si="8"/>
        <v>36.903490537902968</v>
      </c>
      <c r="AU8" s="14">
        <f t="shared" si="8"/>
        <v>37.174035436781097</v>
      </c>
      <c r="AV8" s="14">
        <f t="shared" si="8"/>
        <v>37.445941266131882</v>
      </c>
      <c r="AW8" s="14">
        <f t="shared" si="8"/>
        <v>37.719214293479972</v>
      </c>
      <c r="AX8" s="14">
        <f t="shared" si="8"/>
        <v>37.993860814307752</v>
      </c>
      <c r="AY8" s="14">
        <f t="shared" si="8"/>
        <v>38.269887152178661</v>
      </c>
      <c r="AZ8" s="14">
        <f t="shared" si="8"/>
        <v>38.547299658860354</v>
      </c>
      <c r="BA8" s="14">
        <f t="shared" si="8"/>
        <v>38.826104714449002</v>
      </c>
      <c r="BB8" s="14">
        <f t="shared" si="8"/>
        <v>39.106308727493754</v>
      </c>
      <c r="BC8" s="14">
        <f t="shared" si="8"/>
        <v>39.38791813512151</v>
      </c>
      <c r="BD8" s="14">
        <f t="shared" si="8"/>
        <v>39.670939403163374</v>
      </c>
      <c r="BE8" s="14">
        <f t="shared" si="8"/>
        <v>39.955379026279886</v>
      </c>
      <c r="BF8" s="14">
        <f t="shared" si="8"/>
        <v>40.241243528088646</v>
      </c>
      <c r="BG8" s="14">
        <f t="shared" si="8"/>
        <v>40.528539461291018</v>
      </c>
      <c r="BH8" s="14">
        <f t="shared" si="8"/>
        <v>40.817273407800158</v>
      </c>
      <c r="BI8" s="14">
        <f t="shared" si="8"/>
        <v>41.107451978869705</v>
      </c>
      <c r="BJ8" s="14">
        <f t="shared" si="8"/>
        <v>41.399081815222331</v>
      </c>
      <c r="BK8" s="14">
        <f t="shared" si="8"/>
        <v>41.692169587179514</v>
      </c>
      <c r="BL8" s="14">
        <f t="shared" si="8"/>
        <v>41.986721994791814</v>
      </c>
      <c r="BM8" s="14">
        <f t="shared" si="8"/>
        <v>42.282745767969054</v>
      </c>
      <c r="BN8" s="14">
        <f t="shared" si="8"/>
        <v>42.580247666612181</v>
      </c>
      <c r="BO8" s="14">
        <f t="shared" si="8"/>
        <v>42.879234480744628</v>
      </c>
      <c r="BP8" s="14">
        <f t="shared" si="8"/>
        <v>43.179713030644891</v>
      </c>
      <c r="BQ8" s="14">
        <f t="shared" si="8"/>
        <v>43.481690166979284</v>
      </c>
      <c r="BR8" s="14">
        <f t="shared" si="8"/>
        <v>43.785172770936121</v>
      </c>
      <c r="BS8" s="14">
        <f t="shared" si="8"/>
        <v>44.090167754359058</v>
      </c>
      <c r="BT8" s="14">
        <f t="shared" si="8"/>
        <v>44.396682059882181</v>
      </c>
      <c r="BU8" s="14">
        <f t="shared" si="8"/>
        <v>44.704722661065531</v>
      </c>
      <c r="BV8" s="14">
        <f t="shared" si="8"/>
        <v>45.014296562530568</v>
      </c>
      <c r="BW8" s="14">
        <f t="shared" si="8"/>
        <v>45.325410800097053</v>
      </c>
    </row>
    <row r="9" spans="1:75" x14ac:dyDescent="0.25">
      <c r="A9" s="13"/>
      <c r="B9" s="37"/>
      <c r="C9" s="58" t="s">
        <v>48</v>
      </c>
      <c r="D9" s="14"/>
      <c r="E9" s="387">
        <f t="shared" si="3"/>
        <v>54.000000000000014</v>
      </c>
      <c r="F9" s="387"/>
      <c r="G9" s="387">
        <f t="shared" si="4"/>
        <v>50.000000000000007</v>
      </c>
      <c r="H9" s="387"/>
      <c r="I9" s="387">
        <f t="shared" si="5"/>
        <v>0</v>
      </c>
      <c r="J9" s="387"/>
      <c r="K9" s="387">
        <f t="shared" si="6"/>
        <v>0</v>
      </c>
      <c r="L9" s="387"/>
      <c r="M9" s="387">
        <f t="shared" si="7"/>
        <v>0</v>
      </c>
      <c r="N9" s="387"/>
      <c r="P9" s="14">
        <f>Income!K19</f>
        <v>0.4</v>
      </c>
      <c r="Q9" s="14">
        <f>Income!L19</f>
        <v>0.4</v>
      </c>
      <c r="R9" s="14">
        <f>Income!M19</f>
        <v>0.4</v>
      </c>
      <c r="S9" s="14">
        <f>Income!N19</f>
        <v>0.4</v>
      </c>
      <c r="T9" s="14">
        <f>Income!O19</f>
        <v>0.4</v>
      </c>
      <c r="U9" s="14">
        <f>Income!P19</f>
        <v>7.5428571428571436</v>
      </c>
      <c r="V9" s="14">
        <f>Income!Q19</f>
        <v>7.5428571428571436</v>
      </c>
      <c r="W9" s="14">
        <f>Income!R19</f>
        <v>7.5428571428571436</v>
      </c>
      <c r="X9" s="14">
        <f>Income!S19</f>
        <v>7.5428571428571436</v>
      </c>
      <c r="Y9" s="14">
        <f>Income!T19</f>
        <v>7.5428571428571436</v>
      </c>
      <c r="Z9" s="14">
        <f>Income!U19</f>
        <v>7.1428571428571432</v>
      </c>
      <c r="AA9" s="14">
        <f>Income!V19</f>
        <v>7.1428571428571432</v>
      </c>
      <c r="AB9" s="14">
        <f>Income!W19</f>
        <v>7.1428571428571432</v>
      </c>
      <c r="AC9" s="14">
        <f>Income!X19</f>
        <v>7.1428571428571432</v>
      </c>
      <c r="AD9" s="14">
        <f>Income!Y19</f>
        <v>7.1428571428571432</v>
      </c>
      <c r="AE9" s="14">
        <f>Income!Z19</f>
        <v>7.1428571428571432</v>
      </c>
      <c r="AF9" s="14">
        <f>Income!AA19</f>
        <v>7.1428571428571432</v>
      </c>
      <c r="AG9" s="14">
        <f>Income!AB19</f>
        <v>7.1428571428571432</v>
      </c>
      <c r="AH9" s="14">
        <f>Income!AC19</f>
        <v>7.1428571428571432</v>
      </c>
      <c r="AI9" s="14">
        <f>Income!AD19</f>
        <v>0</v>
      </c>
      <c r="AJ9" s="14">
        <f>Income!AE19</f>
        <v>0</v>
      </c>
      <c r="AK9" s="14">
        <f>Income!AF19</f>
        <v>0</v>
      </c>
      <c r="AL9" s="14">
        <f>Income!AG19</f>
        <v>0</v>
      </c>
      <c r="AM9" s="14">
        <f>Income!AH19</f>
        <v>0</v>
      </c>
      <c r="AN9" s="14">
        <f>Income!AI19</f>
        <v>0</v>
      </c>
      <c r="AO9" s="14">
        <f>Income!AJ19</f>
        <v>0</v>
      </c>
      <c r="AP9" s="14">
        <f>Income!AK19</f>
        <v>0</v>
      </c>
      <c r="AQ9" s="14">
        <f>Income!AL19</f>
        <v>0</v>
      </c>
      <c r="AR9" s="14">
        <f>Income!AM19</f>
        <v>0</v>
      </c>
      <c r="AS9" s="14">
        <f>Income!AN19</f>
        <v>0</v>
      </c>
      <c r="AT9" s="14">
        <f>Income!AO19</f>
        <v>0</v>
      </c>
      <c r="AU9" s="14">
        <f>Income!AP19</f>
        <v>0</v>
      </c>
      <c r="AV9" s="14">
        <f>Income!AQ19</f>
        <v>0</v>
      </c>
      <c r="AW9" s="14">
        <f>Income!AR19</f>
        <v>0</v>
      </c>
      <c r="AX9" s="14">
        <f>Income!AS19</f>
        <v>0</v>
      </c>
      <c r="AY9" s="14">
        <f>Income!AT19</f>
        <v>0</v>
      </c>
      <c r="AZ9" s="14">
        <f>Income!AU19</f>
        <v>0</v>
      </c>
      <c r="BA9" s="14">
        <f>Income!AV19</f>
        <v>0</v>
      </c>
      <c r="BB9" s="14">
        <f>Income!AW19</f>
        <v>0</v>
      </c>
      <c r="BC9" s="14">
        <f>Income!AX19</f>
        <v>0</v>
      </c>
      <c r="BD9" s="14">
        <f>Income!AY19</f>
        <v>0</v>
      </c>
      <c r="BE9" s="14">
        <f>Income!AZ19</f>
        <v>0</v>
      </c>
      <c r="BF9" s="14">
        <f>Income!BA19</f>
        <v>0</v>
      </c>
      <c r="BG9" s="14">
        <f>Income!BB19</f>
        <v>0</v>
      </c>
      <c r="BH9" s="14">
        <f>Income!BC19</f>
        <v>0</v>
      </c>
      <c r="BI9" s="14">
        <f>Income!BD19</f>
        <v>0</v>
      </c>
      <c r="BJ9" s="14">
        <f>Income!BE19</f>
        <v>0</v>
      </c>
      <c r="BK9" s="14">
        <f>Income!BF19</f>
        <v>0</v>
      </c>
      <c r="BL9" s="14">
        <f>Income!BG19</f>
        <v>0</v>
      </c>
      <c r="BM9" s="14">
        <f>Income!BH19</f>
        <v>0</v>
      </c>
      <c r="BN9" s="14">
        <f>Income!BI19</f>
        <v>0</v>
      </c>
      <c r="BO9" s="14">
        <f>Income!BJ19</f>
        <v>0</v>
      </c>
      <c r="BP9" s="14">
        <f>Income!BK19</f>
        <v>0</v>
      </c>
      <c r="BQ9" s="14">
        <f>Income!BL19</f>
        <v>0</v>
      </c>
      <c r="BR9" s="14">
        <f>Income!BM19</f>
        <v>0</v>
      </c>
      <c r="BS9" s="14">
        <f>Income!BN19</f>
        <v>0</v>
      </c>
      <c r="BT9" s="14">
        <f>Income!BO19</f>
        <v>0</v>
      </c>
      <c r="BU9" s="14">
        <f>Income!BP19</f>
        <v>0</v>
      </c>
      <c r="BV9" s="14">
        <f>Income!BQ19</f>
        <v>0</v>
      </c>
      <c r="BW9" s="14">
        <f>Income!BR19</f>
        <v>0</v>
      </c>
    </row>
    <row r="10" spans="1:75" x14ac:dyDescent="0.25">
      <c r="A10" s="13"/>
      <c r="B10" s="37"/>
      <c r="C10" s="59" t="s">
        <v>49</v>
      </c>
      <c r="D10" s="14"/>
      <c r="E10" s="387">
        <f t="shared" si="3"/>
        <v>-154</v>
      </c>
      <c r="F10" s="387"/>
      <c r="G10" s="387">
        <f t="shared" si="4"/>
        <v>0</v>
      </c>
      <c r="H10" s="387"/>
      <c r="I10" s="387">
        <f t="shared" si="5"/>
        <v>0</v>
      </c>
      <c r="J10" s="387"/>
      <c r="K10" s="387">
        <f t="shared" si="6"/>
        <v>0</v>
      </c>
      <c r="L10" s="387"/>
      <c r="M10" s="387">
        <f t="shared" si="7"/>
        <v>0</v>
      </c>
      <c r="N10" s="387"/>
      <c r="P10" s="14">
        <f>-CapEx!K11</f>
        <v>-4</v>
      </c>
      <c r="Q10" s="14">
        <f>-CapEx!L11</f>
        <v>0</v>
      </c>
      <c r="R10" s="14">
        <f>-CapEx!M11</f>
        <v>-50</v>
      </c>
      <c r="S10" s="14">
        <f>-CapEx!N11</f>
        <v>0</v>
      </c>
      <c r="T10" s="14">
        <f>-CapEx!O11</f>
        <v>0</v>
      </c>
      <c r="U10" s="14">
        <f>-CapEx!P11</f>
        <v>-100</v>
      </c>
      <c r="V10" s="14">
        <f>-CapEx!Q11</f>
        <v>0</v>
      </c>
      <c r="W10" s="14">
        <f>-CapEx!R11</f>
        <v>0</v>
      </c>
      <c r="X10" s="14">
        <f>-CapEx!S11</f>
        <v>0</v>
      </c>
      <c r="Y10" s="14">
        <f>-CapEx!T11</f>
        <v>0</v>
      </c>
      <c r="Z10" s="14">
        <f>-CapEx!U11</f>
        <v>0</v>
      </c>
      <c r="AA10" s="34">
        <f>-CapEx!V11</f>
        <v>0</v>
      </c>
      <c r="AB10" s="14">
        <f>-CapEx!W11</f>
        <v>0</v>
      </c>
      <c r="AC10" s="14">
        <f>-CapEx!X11</f>
        <v>0</v>
      </c>
      <c r="AD10" s="14">
        <f>-CapEx!Y11</f>
        <v>0</v>
      </c>
      <c r="AE10" s="14">
        <f>-CapEx!Z11</f>
        <v>0</v>
      </c>
      <c r="AF10" s="14">
        <f>-CapEx!AA11</f>
        <v>0</v>
      </c>
      <c r="AG10" s="14">
        <f>-CapEx!AB11</f>
        <v>0</v>
      </c>
      <c r="AH10" s="14">
        <f>-CapEx!AC11</f>
        <v>0</v>
      </c>
      <c r="AI10" s="14">
        <f>-CapEx!AD11</f>
        <v>0</v>
      </c>
      <c r="AJ10" s="14">
        <f>-CapEx!AE11</f>
        <v>0</v>
      </c>
      <c r="AK10" s="14">
        <f>-CapEx!AF11</f>
        <v>0</v>
      </c>
      <c r="AL10" s="14">
        <f>-CapEx!AG11</f>
        <v>0</v>
      </c>
      <c r="AM10" s="34">
        <f>-CapEx!AH11</f>
        <v>0</v>
      </c>
      <c r="AN10" s="14">
        <f>-CapEx!AI11</f>
        <v>0</v>
      </c>
      <c r="AO10" s="14">
        <f>-CapEx!AJ11</f>
        <v>0</v>
      </c>
      <c r="AP10" s="14">
        <f>-CapEx!AK11</f>
        <v>0</v>
      </c>
      <c r="AQ10" s="14">
        <f>-CapEx!AL11</f>
        <v>0</v>
      </c>
      <c r="AR10" s="14">
        <f>-CapEx!AM11</f>
        <v>0</v>
      </c>
      <c r="AS10" s="14">
        <f>-CapEx!AN11</f>
        <v>0</v>
      </c>
      <c r="AT10" s="14">
        <f>-CapEx!AO11</f>
        <v>0</v>
      </c>
      <c r="AU10" s="14">
        <f>-CapEx!AP11</f>
        <v>0</v>
      </c>
      <c r="AV10" s="14">
        <f>-CapEx!AQ11</f>
        <v>0</v>
      </c>
      <c r="AW10" s="14">
        <f>-CapEx!AR11</f>
        <v>0</v>
      </c>
      <c r="AX10" s="14">
        <f>-CapEx!AS11</f>
        <v>0</v>
      </c>
      <c r="AY10" s="34">
        <f>-CapEx!AT11</f>
        <v>0</v>
      </c>
      <c r="AZ10" s="14">
        <f>-CapEx!AU11</f>
        <v>0</v>
      </c>
      <c r="BA10" s="14">
        <f>-CapEx!AV11</f>
        <v>0</v>
      </c>
      <c r="BB10" s="14">
        <f>-CapEx!AW11</f>
        <v>0</v>
      </c>
      <c r="BC10" s="14">
        <f>-CapEx!AX11</f>
        <v>0</v>
      </c>
      <c r="BD10" s="14">
        <f>-CapEx!AY11</f>
        <v>0</v>
      </c>
      <c r="BE10" s="14">
        <f>-CapEx!AZ11</f>
        <v>0</v>
      </c>
      <c r="BF10" s="14">
        <f>-CapEx!BA11</f>
        <v>0</v>
      </c>
      <c r="BG10" s="14">
        <f>-CapEx!BB11</f>
        <v>0</v>
      </c>
      <c r="BH10" s="14">
        <f>-CapEx!BC11</f>
        <v>0</v>
      </c>
      <c r="BI10" s="14">
        <f>-CapEx!BD11</f>
        <v>0</v>
      </c>
      <c r="BJ10" s="14">
        <f>-CapEx!BE11</f>
        <v>0</v>
      </c>
      <c r="BK10" s="34">
        <f>-CapEx!BF11</f>
        <v>0</v>
      </c>
      <c r="BL10" s="14">
        <f>-CapEx!BG11</f>
        <v>0</v>
      </c>
      <c r="BM10" s="14">
        <f>-CapEx!BH11</f>
        <v>0</v>
      </c>
      <c r="BN10" s="14">
        <f>-CapEx!BI11</f>
        <v>0</v>
      </c>
      <c r="BO10" s="14">
        <f>-CapEx!BJ11</f>
        <v>0</v>
      </c>
      <c r="BP10" s="14">
        <f>-CapEx!BK11</f>
        <v>0</v>
      </c>
      <c r="BQ10" s="14">
        <f>-CapEx!BL11</f>
        <v>0</v>
      </c>
      <c r="BR10" s="14">
        <f>-CapEx!BM11</f>
        <v>0</v>
      </c>
      <c r="BS10" s="14">
        <f>-CapEx!BN11</f>
        <v>0</v>
      </c>
      <c r="BT10" s="14">
        <f>-CapEx!BO11</f>
        <v>0</v>
      </c>
      <c r="BU10" s="14">
        <f>-CapEx!BP11</f>
        <v>0</v>
      </c>
      <c r="BV10" s="14">
        <f>-CapEx!BQ11</f>
        <v>0</v>
      </c>
      <c r="BW10" s="34">
        <f>-CapEx!BR11</f>
        <v>0</v>
      </c>
    </row>
    <row r="11" spans="1:75" x14ac:dyDescent="0.25">
      <c r="A11" s="13"/>
      <c r="B11" s="37"/>
      <c r="C11" s="60" t="s">
        <v>50</v>
      </c>
      <c r="D11" s="34"/>
      <c r="E11" s="381">
        <f ca="1">AA11</f>
        <v>675.83268335215314</v>
      </c>
      <c r="F11" s="381"/>
      <c r="G11" s="381">
        <f ca="1">AM11</f>
        <v>1194.6345300065523</v>
      </c>
      <c r="H11" s="381"/>
      <c r="I11" s="381">
        <f ca="1">AY11</f>
        <v>1638.0715365993938</v>
      </c>
      <c r="J11" s="381"/>
      <c r="K11" s="381">
        <f ca="1">BK11</f>
        <v>2122.2109850642064</v>
      </c>
      <c r="L11" s="381"/>
      <c r="M11" s="381">
        <f ca="1">BW11</f>
        <v>2649.5638776765886</v>
      </c>
      <c r="N11" s="381"/>
      <c r="P11" s="34">
        <f ca="1">Balance!K9</f>
        <v>434.1158333333334</v>
      </c>
      <c r="Q11" s="34">
        <f ca="1">Balance!L9</f>
        <v>464.26400059405819</v>
      </c>
      <c r="R11" s="34">
        <f ca="1">Balance!M9</f>
        <v>444.65027005920842</v>
      </c>
      <c r="S11" s="34">
        <f ca="1">Balance!N9</f>
        <v>475.27585283201512</v>
      </c>
      <c r="T11" s="34">
        <f ca="1">Balance!O9</f>
        <v>506.14196561897791</v>
      </c>
      <c r="U11" s="34">
        <f ca="1">Balance!P9</f>
        <v>467.95166977113718</v>
      </c>
      <c r="V11" s="51">
        <f ca="1">Balance!Q9</f>
        <v>502.03715810161981</v>
      </c>
      <c r="W11" s="51">
        <f ca="1">Balance!R9</f>
        <v>536.36686043668726</v>
      </c>
      <c r="X11" s="51">
        <f ca="1">Balance!S9</f>
        <v>570.94201614778831</v>
      </c>
      <c r="Y11" s="51">
        <f ca="1">Balance!T9</f>
        <v>605.76387033613503</v>
      </c>
      <c r="Z11" s="51">
        <f ca="1">Balance!U9</f>
        <v>640.67367385833768</v>
      </c>
      <c r="AA11" s="32">
        <f ca="1">Balance!V9</f>
        <v>675.83268335215314</v>
      </c>
      <c r="AB11" s="34">
        <f ca="1">Balance!W9</f>
        <v>804.73187119997203</v>
      </c>
      <c r="AC11" s="51">
        <f ca="1">Balance!X9</f>
        <v>840.19183580428967</v>
      </c>
      <c r="AD11" s="51">
        <f ca="1">Balance!Y9</f>
        <v>875.90481123955419</v>
      </c>
      <c r="AE11" s="51">
        <f ca="1">Balance!Z9</f>
        <v>911.87207752786662</v>
      </c>
      <c r="AF11" s="51">
        <f ca="1">Balance!AA9</f>
        <v>948.09492060292814</v>
      </c>
      <c r="AG11" s="51">
        <f ca="1">Balance!AB9</f>
        <v>984.57463233647718</v>
      </c>
      <c r="AH11" s="51">
        <f ca="1">Balance!AC9</f>
        <v>1021.312510564843</v>
      </c>
      <c r="AI11" s="51">
        <f ca="1">Balance!AD9</f>
        <v>1055.452716258475</v>
      </c>
      <c r="AJ11" s="51">
        <f ca="1">Balance!AE9</f>
        <v>1089.8537021201571</v>
      </c>
      <c r="AK11" s="51">
        <f ca="1">Balance!AF9</f>
        <v>1124.5167840404888</v>
      </c>
      <c r="AL11" s="51">
        <f ca="1">Balance!AG9</f>
        <v>1159.4432839820511</v>
      </c>
      <c r="AM11" s="32">
        <f ca="1">Balance!AH9</f>
        <v>1194.6345300065523</v>
      </c>
      <c r="AN11" s="34">
        <f ca="1">Balance!AI9</f>
        <v>1230.0918563020923</v>
      </c>
      <c r="AO11" s="51">
        <f ca="1">Balance!AJ9</f>
        <v>1265.8166032105469</v>
      </c>
      <c r="AP11" s="51">
        <f ca="1">Balance!AK9</f>
        <v>1301.8101172550712</v>
      </c>
      <c r="AQ11" s="51">
        <f ca="1">Balance!AL9</f>
        <v>1338.0737511677314</v>
      </c>
      <c r="AR11" s="51">
        <f ca="1">Balance!AM9</f>
        <v>1374.6088639172467</v>
      </c>
      <c r="AS11" s="51">
        <f ca="1">Balance!AN9</f>
        <v>1411.4168207368648</v>
      </c>
      <c r="AT11" s="51">
        <f ca="1">Balance!AO9</f>
        <v>1448.4989931523537</v>
      </c>
      <c r="AU11" s="51">
        <f ca="1">Balance!AP9</f>
        <v>1485.8567590101195</v>
      </c>
      <c r="AV11" s="51">
        <f ca="1">Balance!AQ9</f>
        <v>1523.4915025054474</v>
      </c>
      <c r="AW11" s="51">
        <f ca="1">Balance!AR9</f>
        <v>1561.4046142108666</v>
      </c>
      <c r="AX11" s="51">
        <f ca="1">Balance!AS9</f>
        <v>1599.5974911046433</v>
      </c>
      <c r="AY11" s="32">
        <f ca="1">Balance!AT9</f>
        <v>1638.0715365993938</v>
      </c>
      <c r="AZ11" s="34">
        <f ca="1">Balance!AU9</f>
        <v>1676.8281605708301</v>
      </c>
      <c r="BA11" s="51">
        <f ca="1">Balance!AV9</f>
        <v>1715.8687793866275</v>
      </c>
      <c r="BB11" s="51">
        <f ca="1">Balance!AW9</f>
        <v>1755.1948159354224</v>
      </c>
      <c r="BC11" s="51">
        <f ca="1">Balance!AX9</f>
        <v>1794.8076996559346</v>
      </c>
      <c r="BD11" s="51">
        <f ca="1">Balance!AY9</f>
        <v>1834.7088665662232</v>
      </c>
      <c r="BE11" s="51">
        <f ca="1">Balance!AZ9</f>
        <v>1874.8997592930655</v>
      </c>
      <c r="BF11" s="51">
        <f ca="1">Balance!BA9</f>
        <v>1915.38182710147</v>
      </c>
      <c r="BG11" s="51">
        <f ca="1">Balance!BB9</f>
        <v>1956.1565259243182</v>
      </c>
      <c r="BH11" s="51">
        <f ca="1">Balance!BC9</f>
        <v>1997.2253183921348</v>
      </c>
      <c r="BI11" s="51">
        <f ca="1">Balance!BD9</f>
        <v>2038.5896738629926</v>
      </c>
      <c r="BJ11" s="51">
        <f ca="1">Balance!BE9</f>
        <v>2080.2510684525478</v>
      </c>
      <c r="BK11" s="32">
        <f ca="1">Balance!BF9</f>
        <v>2122.2109850642064</v>
      </c>
      <c r="BL11" s="34">
        <f ca="1">Balance!BG9</f>
        <v>2164.4709134194259</v>
      </c>
      <c r="BM11" s="51">
        <f ca="1">Balance!BH9</f>
        <v>2207.0323500881491</v>
      </c>
      <c r="BN11" s="51">
        <f ca="1">Balance!BI9</f>
        <v>2249.8967985193717</v>
      </c>
      <c r="BO11" s="51">
        <f ca="1">Balance!BJ9</f>
        <v>2293.0657690718458</v>
      </c>
      <c r="BP11" s="51">
        <f ca="1">Balance!BK9</f>
        <v>2336.5407790449185</v>
      </c>
      <c r="BQ11" s="51">
        <f ca="1">Balance!BL9</f>
        <v>2380.3233527095053</v>
      </c>
      <c r="BR11" s="51">
        <f ca="1">Balance!BM9</f>
        <v>2424.4150213392022</v>
      </c>
      <c r="BS11" s="51">
        <f ca="1">Balance!BN9</f>
        <v>2468.8173232415334</v>
      </c>
      <c r="BT11" s="51">
        <f ca="1">Balance!BO9</f>
        <v>2513.5318037893335</v>
      </c>
      <c r="BU11" s="51">
        <f ca="1">Balance!BP9</f>
        <v>2558.5600154522772</v>
      </c>
      <c r="BV11" s="51">
        <f ca="1">Balance!BQ9</f>
        <v>2603.9035178285371</v>
      </c>
      <c r="BW11" s="32">
        <f ca="1">Balance!BR9</f>
        <v>2649.5638776765886</v>
      </c>
    </row>
    <row r="12" spans="1:75" x14ac:dyDescent="0.25">
      <c r="A12" s="13"/>
      <c r="B12" s="37"/>
      <c r="C12" s="61" t="s">
        <v>51</v>
      </c>
      <c r="D12" s="34"/>
      <c r="E12" s="381">
        <f t="shared" ref="E12" ca="1" si="9">SUM(P12:AA12)</f>
        <v>-1569.0072044306366</v>
      </c>
      <c r="F12" s="381"/>
      <c r="G12" s="381">
        <f t="shared" ref="G12" ca="1" si="10">SUM(AB12:AM12)</f>
        <v>-6923.8066169339163</v>
      </c>
      <c r="H12" s="381"/>
      <c r="I12" s="381">
        <f t="shared" ref="I12" ca="1" si="11">SUM(AN12:AY12)</f>
        <v>-11733.367940710839</v>
      </c>
      <c r="J12" s="381"/>
      <c r="K12" s="381">
        <f t="shared" ref="K12" ca="1" si="12">SUM(AZ12:BK12)</f>
        <v>-16928.837986548053</v>
      </c>
      <c r="L12" s="381"/>
      <c r="M12" s="381">
        <f t="shared" ref="M12" ca="1" si="13">SUM(BL12:BW12)</f>
        <v>-22596.84873967366</v>
      </c>
      <c r="N12" s="381"/>
      <c r="P12" s="34">
        <f ca="1">-Balance!K5</f>
        <v>-49.923333333333375</v>
      </c>
      <c r="Q12" s="34">
        <f ca="1">-Balance!L5</f>
        <v>-77.925661997057745</v>
      </c>
      <c r="R12" s="34">
        <f ca="1">-Balance!M5</f>
        <v>-56.152352423102712</v>
      </c>
      <c r="S12" s="34">
        <f ca="1">-Balance!N5</f>
        <v>-84.604515200196175</v>
      </c>
      <c r="T12" s="34">
        <f ca="1">-Balance!O5</f>
        <v>-113.28326570702197</v>
      </c>
      <c r="U12" s="34">
        <f ca="1">-Balance!P5</f>
        <v>-72.891563146487186</v>
      </c>
      <c r="V12" s="51">
        <f ca="1">-Balance!Q5</f>
        <v>-104.76149735619848</v>
      </c>
      <c r="W12" s="51">
        <f ca="1">-Balance!R5</f>
        <v>-136.86139435237803</v>
      </c>
      <c r="X12" s="51">
        <f ca="1">-Balance!S5</f>
        <v>-169.19238885472217</v>
      </c>
      <c r="Y12" s="51">
        <f ca="1">-Balance!T5</f>
        <v>-201.75562046371741</v>
      </c>
      <c r="Z12" s="51">
        <f ca="1">-Balance!U5</f>
        <v>-234.3922336789511</v>
      </c>
      <c r="AA12" s="32">
        <f ca="1">-Balance!V5</f>
        <v>-267.26337791747028</v>
      </c>
      <c r="AB12" s="34">
        <f ca="1">-Balance!W5</f>
        <v>-393.85991746981375</v>
      </c>
      <c r="AC12" s="51">
        <f ca="1">-Balance!X5</f>
        <v>-427.00234176796084</v>
      </c>
      <c r="AD12" s="51">
        <f ca="1">-Balance!Y5</f>
        <v>-460.3827750295905</v>
      </c>
      <c r="AE12" s="51">
        <f ca="1">-Balance!Z5</f>
        <v>-494.00238652612467</v>
      </c>
      <c r="AF12" s="51">
        <f ca="1">-Balance!AA5</f>
        <v>-527.86235053895007</v>
      </c>
      <c r="AG12" s="51">
        <f ca="1">-Balance!AB5</f>
        <v>-561.96384637806159</v>
      </c>
      <c r="AH12" s="51">
        <f ca="1">-Balance!AC5</f>
        <v>-596.30805840075232</v>
      </c>
      <c r="AI12" s="51">
        <f ca="1">-Balance!AD5</f>
        <v>-628.03903317320714</v>
      </c>
      <c r="AJ12" s="51">
        <f ca="1">-Balance!AE5</f>
        <v>-660.01510806071542</v>
      </c>
      <c r="AK12" s="51">
        <f ca="1">-Balance!AF5</f>
        <v>-692.23748267507244</v>
      </c>
      <c r="AL12" s="51">
        <f ca="1">-Balance!AG5</f>
        <v>-724.70736175059972</v>
      </c>
      <c r="AM12" s="32">
        <f ca="1">-Balance!AH5</f>
        <v>-757.42595516306733</v>
      </c>
      <c r="AN12" s="34">
        <f ca="1">-Balance!AI5</f>
        <v>-790.39447794866419</v>
      </c>
      <c r="AO12" s="51">
        <f ca="1">-Balance!AJ5</f>
        <v>-823.61415032301306</v>
      </c>
      <c r="AP12" s="51">
        <f ca="1">-Balance!AK5</f>
        <v>-857.0861977002329</v>
      </c>
      <c r="AQ12" s="51">
        <f ca="1">-Balance!AL5</f>
        <v>-890.81185071204493</v>
      </c>
      <c r="AR12" s="51">
        <f ca="1">-Balance!AM5</f>
        <v>-924.7923452269273</v>
      </c>
      <c r="AS12" s="51">
        <f ca="1">-Balance!AN5</f>
        <v>-959.02892236931223</v>
      </c>
      <c r="AT12" s="51">
        <f ca="1">-Balance!AO5</f>
        <v>-993.52282853883014</v>
      </c>
      <c r="AU12" s="51">
        <f ca="1">-Balance!AP5</f>
        <v>-1028.2753154295992</v>
      </c>
      <c r="AV12" s="51">
        <f ca="1">-Balance!AQ5</f>
        <v>-1063.2876400495595</v>
      </c>
      <c r="AW12" s="51">
        <f ca="1">-Balance!AR5</f>
        <v>-1098.5610647398505</v>
      </c>
      <c r="AX12" s="51">
        <f ca="1">-Balance!AS5</f>
        <v>-1134.0968571942358</v>
      </c>
      <c r="AY12" s="32">
        <f ca="1">-Balance!AT5</f>
        <v>-1169.896290478571</v>
      </c>
      <c r="AZ12" s="34">
        <f ca="1">-Balance!AU5</f>
        <v>-1205.9606430503154</v>
      </c>
      <c r="BA12" s="51">
        <f ca="1">-Balance!AV5</f>
        <v>-1242.2911987780885</v>
      </c>
      <c r="BB12" s="51">
        <f ca="1">-Balance!AW5</f>
        <v>-1278.8892469612708</v>
      </c>
      <c r="BC12" s="51">
        <f ca="1">-Balance!AX5</f>
        <v>-1315.7560823496469</v>
      </c>
      <c r="BD12" s="51">
        <f ca="1">-Balance!AY5</f>
        <v>-1352.8930051630932</v>
      </c>
      <c r="BE12" s="51">
        <f ca="1">-Balance!AZ5</f>
        <v>-1390.3013211113087</v>
      </c>
      <c r="BF12" s="51">
        <f ca="1">-Balance!BA5</f>
        <v>-1427.9823414135881</v>
      </c>
      <c r="BG12" s="51">
        <f ca="1">-Balance!BB5</f>
        <v>-1465.9373828186394</v>
      </c>
      <c r="BH12" s="51">
        <f ca="1">-Balance!BC5</f>
        <v>-1504.1677676244428</v>
      </c>
      <c r="BI12" s="51">
        <f ca="1">-Balance!BD5</f>
        <v>-1542.6748236981516</v>
      </c>
      <c r="BJ12" s="51">
        <f ca="1">-Balance!BE5</f>
        <v>-1581.4598844960365</v>
      </c>
      <c r="BK12" s="32">
        <f ca="1">-Balance!BF5</f>
        <v>-1620.5242890834716</v>
      </c>
      <c r="BL12" s="34">
        <f ca="1">-Balance!BG5</f>
        <v>-1659.8693821549609</v>
      </c>
      <c r="BM12" s="51">
        <f ca="1">-Balance!BH5</f>
        <v>-1699.4965140542085</v>
      </c>
      <c r="BN12" s="51">
        <f ca="1">-Balance!BI5</f>
        <v>-1739.4070407942268</v>
      </c>
      <c r="BO12" s="51">
        <f ca="1">-Balance!BJ5</f>
        <v>-1779.6023240774884</v>
      </c>
      <c r="BP12" s="51">
        <f ca="1">-Balance!BK5</f>
        <v>-1820.0837313161187</v>
      </c>
      <c r="BQ12" s="51">
        <f ca="1">-Balance!BL5</f>
        <v>-1860.8526356521254</v>
      </c>
      <c r="BR12" s="51">
        <f ca="1">-Balance!BM5</f>
        <v>-1901.9104159776725</v>
      </c>
      <c r="BS12" s="51">
        <f ca="1">-Balance!BN5</f>
        <v>-1943.2584569553924</v>
      </c>
      <c r="BT12" s="51">
        <f ca="1">-Balance!BO5</f>
        <v>-1984.8981490387359</v>
      </c>
      <c r="BU12" s="51">
        <f ca="1">-Balance!BP5</f>
        <v>-2026.830888492364</v>
      </c>
      <c r="BV12" s="51">
        <f ca="1">-Balance!BQ5</f>
        <v>-2069.0580774125774</v>
      </c>
      <c r="BW12" s="32">
        <f ca="1">-Balance!BR5</f>
        <v>-2111.5811237477856</v>
      </c>
    </row>
    <row r="13" spans="1:75" x14ac:dyDescent="0.25">
      <c r="A13" s="37"/>
      <c r="B13" s="37"/>
      <c r="C13" s="61" t="s">
        <v>52</v>
      </c>
      <c r="D13" s="34"/>
      <c r="E13" s="381">
        <f>AA13</f>
        <v>-290.18464229483413</v>
      </c>
      <c r="F13" s="381"/>
      <c r="G13" s="381">
        <f>AM13</f>
        <v>-322.83113315486884</v>
      </c>
      <c r="H13" s="381"/>
      <c r="I13" s="381">
        <f>AY13</f>
        <v>-336.18178050855022</v>
      </c>
      <c r="J13" s="381"/>
      <c r="K13" s="381">
        <f>BK13</f>
        <v>-350.27651952954375</v>
      </c>
      <c r="L13" s="381"/>
      <c r="M13" s="381">
        <f>BW13</f>
        <v>-365.15760642531399</v>
      </c>
      <c r="N13" s="381"/>
      <c r="P13" s="34">
        <f>-Balance!K23</f>
        <v>-269.17833333333328</v>
      </c>
      <c r="Q13" s="34">
        <f>-Balance!L23</f>
        <v>-270.15650299650247</v>
      </c>
      <c r="R13" s="34">
        <f>-Balance!M23</f>
        <v>-271.13909194984706</v>
      </c>
      <c r="S13" s="34">
        <f>-Balance!N23</f>
        <v>-272.12612049651733</v>
      </c>
      <c r="T13" s="34">
        <f>-Balance!O23</f>
        <v>-273.11760903503671</v>
      </c>
      <c r="U13" s="34">
        <f>-Balance!P23</f>
        <v>-284.11357805976297</v>
      </c>
      <c r="V13" s="51">
        <f>-Balance!Q23</f>
        <v>-285.11404816135143</v>
      </c>
      <c r="W13" s="51">
        <f>-Balance!R23</f>
        <v>-286.11904002722036</v>
      </c>
      <c r="X13" s="51">
        <f>-Balance!S23</f>
        <v>-287.12857444201882</v>
      </c>
      <c r="Y13" s="51">
        <f>-Balance!T23</f>
        <v>-288.14267228809672</v>
      </c>
      <c r="Z13" s="51">
        <f>-Balance!U23</f>
        <v>-289.16135454597793</v>
      </c>
      <c r="AA13" s="32">
        <f>-Balance!V23</f>
        <v>-290.18464229483413</v>
      </c>
      <c r="AB13" s="34">
        <f>-Balance!W23</f>
        <v>-311.21255671296319</v>
      </c>
      <c r="AC13" s="51">
        <f>-Balance!X23</f>
        <v>-312.24511907826809</v>
      </c>
      <c r="AD13" s="51">
        <f>-Balance!Y23</f>
        <v>-313.28235076873909</v>
      </c>
      <c r="AE13" s="51">
        <f>-Balance!Z23</f>
        <v>-314.32427326293885</v>
      </c>
      <c r="AF13" s="51">
        <f>-Balance!AA23</f>
        <v>-315.37090814048821</v>
      </c>
      <c r="AG13" s="51">
        <f>-Balance!AB23</f>
        <v>-316.42227708255655</v>
      </c>
      <c r="AH13" s="51">
        <f>-Balance!AC23</f>
        <v>-317.47840187235329</v>
      </c>
      <c r="AI13" s="51">
        <f>-Balance!AD23</f>
        <v>-318.5393043956218</v>
      </c>
      <c r="AJ13" s="51">
        <f>-Balance!AE23</f>
        <v>-319.60500664113647</v>
      </c>
      <c r="AK13" s="51">
        <f>-Balance!AF23</f>
        <v>-320.67553070120221</v>
      </c>
      <c r="AL13" s="51">
        <f>-Balance!AG23</f>
        <v>-321.75089877215532</v>
      </c>
      <c r="AM13" s="32">
        <f>-Balance!AH23</f>
        <v>-322.83113315486884</v>
      </c>
      <c r="AN13" s="34">
        <f>-Balance!AI23</f>
        <v>-323.91625625525847</v>
      </c>
      <c r="AO13" s="51">
        <f>-Balance!AJ23</f>
        <v>-325.0062905847924</v>
      </c>
      <c r="AP13" s="51">
        <f>-Balance!AK23</f>
        <v>-326.10125876100301</v>
      </c>
      <c r="AQ13" s="51">
        <f>-Balance!AL23</f>
        <v>-327.20118350800141</v>
      </c>
      <c r="AR13" s="51">
        <f>-Balance!AM23</f>
        <v>-328.30608765699424</v>
      </c>
      <c r="AS13" s="51">
        <f>-Balance!AN23</f>
        <v>-329.41599414680377</v>
      </c>
      <c r="AT13" s="51">
        <f>-Balance!AO23</f>
        <v>-330.53092602438971</v>
      </c>
      <c r="AU13" s="51">
        <f>-Balance!AP23</f>
        <v>-331.65090644537452</v>
      </c>
      <c r="AV13" s="51">
        <f>-Balance!AQ23</f>
        <v>-332.77595867457035</v>
      </c>
      <c r="AW13" s="51">
        <f>-Balance!AR23</f>
        <v>-333.90610608650979</v>
      </c>
      <c r="AX13" s="51">
        <f>-Balance!AS23</f>
        <v>-335.04137216597837</v>
      </c>
      <c r="AY13" s="32">
        <f>-Balance!AT23</f>
        <v>-336.18178050855022</v>
      </c>
      <c r="AZ13" s="34">
        <f>-Balance!AU23</f>
        <v>-337.32735482112616</v>
      </c>
      <c r="BA13" s="51">
        <f>-Balance!AV23</f>
        <v>-338.47811892247472</v>
      </c>
      <c r="BB13" s="51">
        <f>-Balance!AW23</f>
        <v>-339.63409674377573</v>
      </c>
      <c r="BC13" s="51">
        <f>-Balance!AX23</f>
        <v>-340.79531232916656</v>
      </c>
      <c r="BD13" s="51">
        <f>-Balance!AY23</f>
        <v>-341.9617898362917</v>
      </c>
      <c r="BE13" s="51">
        <f>-Balance!AZ23</f>
        <v>-343.13355353685392</v>
      </c>
      <c r="BF13" s="51">
        <f>-Balance!BA23</f>
        <v>-344.31062781717009</v>
      </c>
      <c r="BG13" s="51">
        <f>-Balance!BB23</f>
        <v>-345.49303717872704</v>
      </c>
      <c r="BH13" s="51">
        <f>-Balance!BC23</f>
        <v>-346.6808062387434</v>
      </c>
      <c r="BI13" s="51">
        <f>-Balance!BD23</f>
        <v>-347.8739597307316</v>
      </c>
      <c r="BJ13" s="51">
        <f>-Balance!BE23</f>
        <v>-349.07252250506446</v>
      </c>
      <c r="BK13" s="32">
        <f>-Balance!BF23</f>
        <v>-350.27651952954375</v>
      </c>
      <c r="BL13" s="34">
        <f>-Balance!BG23</f>
        <v>-351.48597588997148</v>
      </c>
      <c r="BM13" s="51">
        <f>-Balance!BH23</f>
        <v>-352.7009167907255</v>
      </c>
      <c r="BN13" s="51">
        <f>-Balance!BI23</f>
        <v>-353.92136755533568</v>
      </c>
      <c r="BO13" s="51">
        <f>-Balance!BJ23</f>
        <v>-355.14735362706517</v>
      </c>
      <c r="BP13" s="51">
        <f>-Balance!BK23</f>
        <v>-356.37890056949288</v>
      </c>
      <c r="BQ13" s="51">
        <f>-Balance!BL23</f>
        <v>-357.6160340671006</v>
      </c>
      <c r="BR13" s="51">
        <f>-Balance!BM23</f>
        <v>-358.85877992586177</v>
      </c>
      <c r="BS13" s="51">
        <f>-Balance!BN23</f>
        <v>-360.10716407383342</v>
      </c>
      <c r="BT13" s="51">
        <f>-Balance!BO23</f>
        <v>-361.36121256175164</v>
      </c>
      <c r="BU13" s="51">
        <f>-Balance!BP23</f>
        <v>-362.62095156362977</v>
      </c>
      <c r="BV13" s="51">
        <f>-Balance!BQ23</f>
        <v>-363.88640737735909</v>
      </c>
      <c r="BW13" s="32">
        <f>-Balance!BR23</f>
        <v>-365.15760642531399</v>
      </c>
    </row>
    <row r="14" spans="1:75" s="64" customFormat="1" x14ac:dyDescent="0.25">
      <c r="A14" s="37"/>
      <c r="B14" s="37"/>
      <c r="C14" s="62" t="s">
        <v>53</v>
      </c>
      <c r="D14" s="34"/>
      <c r="E14" s="385">
        <f>AA14</f>
        <v>120</v>
      </c>
      <c r="F14" s="385"/>
      <c r="G14" s="385">
        <f>AM14</f>
        <v>150</v>
      </c>
      <c r="H14" s="385"/>
      <c r="I14" s="385">
        <f>AY14</f>
        <v>150</v>
      </c>
      <c r="J14" s="385"/>
      <c r="K14" s="385">
        <f>BK14</f>
        <v>150</v>
      </c>
      <c r="L14" s="385"/>
      <c r="M14" s="385">
        <f>BW14</f>
        <v>150</v>
      </c>
      <c r="N14" s="385"/>
      <c r="P14" s="65">
        <f>Balance!K24</f>
        <v>100</v>
      </c>
      <c r="Q14" s="65">
        <f>Balance!L24</f>
        <v>100</v>
      </c>
      <c r="R14" s="65">
        <f>Balance!M24</f>
        <v>100</v>
      </c>
      <c r="S14" s="65">
        <f>Balance!N24</f>
        <v>100</v>
      </c>
      <c r="T14" s="65">
        <f>Balance!O24</f>
        <v>100</v>
      </c>
      <c r="U14" s="65">
        <f>Balance!P24</f>
        <v>120</v>
      </c>
      <c r="V14" s="66">
        <f>Balance!Q24</f>
        <v>120</v>
      </c>
      <c r="W14" s="66">
        <f>Balance!R24</f>
        <v>120</v>
      </c>
      <c r="X14" s="66">
        <f>Balance!S24</f>
        <v>120</v>
      </c>
      <c r="Y14" s="66">
        <f>Balance!T24</f>
        <v>120</v>
      </c>
      <c r="Z14" s="66">
        <f>Balance!U24</f>
        <v>120</v>
      </c>
      <c r="AA14" s="63">
        <f>Balance!V24</f>
        <v>120</v>
      </c>
      <c r="AB14" s="65">
        <f>Balance!W24</f>
        <v>150</v>
      </c>
      <c r="AC14" s="66">
        <f>Balance!X24</f>
        <v>150</v>
      </c>
      <c r="AD14" s="66">
        <f>Balance!Y24</f>
        <v>150</v>
      </c>
      <c r="AE14" s="66">
        <f>Balance!Z24</f>
        <v>150</v>
      </c>
      <c r="AF14" s="66">
        <f>Balance!AA24</f>
        <v>150</v>
      </c>
      <c r="AG14" s="66">
        <f>Balance!AB24</f>
        <v>150</v>
      </c>
      <c r="AH14" s="66">
        <f>Balance!AC24</f>
        <v>150</v>
      </c>
      <c r="AI14" s="66">
        <f>Balance!AD24</f>
        <v>150</v>
      </c>
      <c r="AJ14" s="66">
        <f>Balance!AE24</f>
        <v>150</v>
      </c>
      <c r="AK14" s="66">
        <f>Balance!AF24</f>
        <v>150</v>
      </c>
      <c r="AL14" s="66">
        <f>Balance!AG24</f>
        <v>150</v>
      </c>
      <c r="AM14" s="63">
        <f>Balance!AH24</f>
        <v>150</v>
      </c>
      <c r="AN14" s="65">
        <f>Balance!AI24</f>
        <v>150</v>
      </c>
      <c r="AO14" s="66">
        <f>Balance!AJ24</f>
        <v>150</v>
      </c>
      <c r="AP14" s="66">
        <f>Balance!AK24</f>
        <v>150</v>
      </c>
      <c r="AQ14" s="66">
        <f>Balance!AL24</f>
        <v>150</v>
      </c>
      <c r="AR14" s="66">
        <f>Balance!AM24</f>
        <v>150</v>
      </c>
      <c r="AS14" s="66">
        <f>Balance!AN24</f>
        <v>150</v>
      </c>
      <c r="AT14" s="66">
        <f>Balance!AO24</f>
        <v>150</v>
      </c>
      <c r="AU14" s="66">
        <f>Balance!AP24</f>
        <v>150</v>
      </c>
      <c r="AV14" s="66">
        <f>Balance!AQ24</f>
        <v>150</v>
      </c>
      <c r="AW14" s="66">
        <f>Balance!AR24</f>
        <v>150</v>
      </c>
      <c r="AX14" s="66">
        <f>Balance!AS24</f>
        <v>150</v>
      </c>
      <c r="AY14" s="63">
        <f>Balance!AT24</f>
        <v>150</v>
      </c>
      <c r="AZ14" s="65">
        <f>Balance!AU24</f>
        <v>150</v>
      </c>
      <c r="BA14" s="66">
        <f>Balance!AV24</f>
        <v>150</v>
      </c>
      <c r="BB14" s="66">
        <f>Balance!AW24</f>
        <v>150</v>
      </c>
      <c r="BC14" s="66">
        <f>Balance!AX24</f>
        <v>150</v>
      </c>
      <c r="BD14" s="66">
        <f>Balance!AY24</f>
        <v>150</v>
      </c>
      <c r="BE14" s="66">
        <f>Balance!AZ24</f>
        <v>150</v>
      </c>
      <c r="BF14" s="66">
        <f>Balance!BA24</f>
        <v>150</v>
      </c>
      <c r="BG14" s="66">
        <f>Balance!BB24</f>
        <v>150</v>
      </c>
      <c r="BH14" s="66">
        <f>Balance!BC24</f>
        <v>150</v>
      </c>
      <c r="BI14" s="66">
        <f>Balance!BD24</f>
        <v>150</v>
      </c>
      <c r="BJ14" s="66">
        <f>Balance!BE24</f>
        <v>150</v>
      </c>
      <c r="BK14" s="63">
        <f>Balance!BF24</f>
        <v>150</v>
      </c>
      <c r="BL14" s="65">
        <f>Balance!BG24</f>
        <v>150</v>
      </c>
      <c r="BM14" s="66">
        <f>Balance!BH24</f>
        <v>150</v>
      </c>
      <c r="BN14" s="66">
        <f>Balance!BI24</f>
        <v>150</v>
      </c>
      <c r="BO14" s="66">
        <f>Balance!BJ24</f>
        <v>150</v>
      </c>
      <c r="BP14" s="66">
        <f>Balance!BK24</f>
        <v>150</v>
      </c>
      <c r="BQ14" s="66">
        <f>Balance!BL24</f>
        <v>150</v>
      </c>
      <c r="BR14" s="66">
        <f>Balance!BM24</f>
        <v>150</v>
      </c>
      <c r="BS14" s="66">
        <f>Balance!BN24</f>
        <v>150</v>
      </c>
      <c r="BT14" s="66">
        <f>Balance!BO24</f>
        <v>150</v>
      </c>
      <c r="BU14" s="66">
        <f>Balance!BP24</f>
        <v>150</v>
      </c>
      <c r="BV14" s="66">
        <f>Balance!BQ24</f>
        <v>150</v>
      </c>
      <c r="BW14" s="63">
        <f>Balance!BR24</f>
        <v>150</v>
      </c>
    </row>
    <row r="15" spans="1:75" x14ac:dyDescent="0.25">
      <c r="A15" s="37"/>
      <c r="B15" s="37"/>
      <c r="C15" s="67" t="s">
        <v>54</v>
      </c>
      <c r="D15" s="34"/>
      <c r="E15" s="386">
        <f t="shared" ref="E15:E18" ca="1" si="14">SUM(P15:AA15)</f>
        <v>2729.3270823803155</v>
      </c>
      <c r="F15" s="386"/>
      <c r="G15" s="386">
        <f t="shared" ref="G15:G18" ca="1" si="15">SUM(AB15:AM15)</f>
        <v>3083.0392981664477</v>
      </c>
      <c r="H15" s="386"/>
      <c r="I15" s="386">
        <f t="shared" ref="I15:I18" ca="1" si="16">SUM(AN15:AY15)</f>
        <v>3285.3368476433106</v>
      </c>
      <c r="J15" s="386"/>
      <c r="K15" s="386">
        <f t="shared" ref="K15:K18" ca="1" si="17">SUM(AZ15:BK15)</f>
        <v>3508.24779446805</v>
      </c>
      <c r="L15" s="386"/>
      <c r="M15" s="386">
        <f t="shared" ref="M15:M18" ca="1" si="18">SUM(BL15:BW15)</f>
        <v>3754.0301120795916</v>
      </c>
      <c r="N15" s="386"/>
      <c r="P15" s="34">
        <f t="shared" ref="P15:BW15" ca="1" si="19">SUM(P11:P14)</f>
        <v>215.01416666666671</v>
      </c>
      <c r="Q15" s="34">
        <f t="shared" ca="1" si="19"/>
        <v>216.18183560049795</v>
      </c>
      <c r="R15" s="34">
        <f t="shared" ca="1" si="19"/>
        <v>217.35882568625868</v>
      </c>
      <c r="S15" s="34">
        <f t="shared" ca="1" si="19"/>
        <v>218.54521713530158</v>
      </c>
      <c r="T15" s="34">
        <f t="shared" ca="1" si="19"/>
        <v>219.7410908769192</v>
      </c>
      <c r="U15" s="34">
        <f t="shared" ca="1" si="19"/>
        <v>230.94652856488699</v>
      </c>
      <c r="V15" s="51">
        <f t="shared" ca="1" si="19"/>
        <v>232.16161258406987</v>
      </c>
      <c r="W15" s="51">
        <f t="shared" ca="1" si="19"/>
        <v>233.38642605708884</v>
      </c>
      <c r="X15" s="51">
        <f t="shared" ca="1" si="19"/>
        <v>234.62105285104735</v>
      </c>
      <c r="Y15" s="51">
        <f t="shared" ca="1" si="19"/>
        <v>235.86557758432093</v>
      </c>
      <c r="Z15" s="51">
        <f t="shared" ca="1" si="19"/>
        <v>237.12008563340862</v>
      </c>
      <c r="AA15" s="32">
        <f t="shared" ca="1" si="19"/>
        <v>238.38466313984873</v>
      </c>
      <c r="AB15" s="34">
        <f t="shared" ca="1" si="19"/>
        <v>249.65939701719509</v>
      </c>
      <c r="AC15" s="51">
        <f t="shared" ca="1" si="19"/>
        <v>250.94437495806073</v>
      </c>
      <c r="AD15" s="51">
        <f t="shared" ca="1" si="19"/>
        <v>252.23968544122459</v>
      </c>
      <c r="AE15" s="51">
        <f t="shared" ca="1" si="19"/>
        <v>253.54541773880311</v>
      </c>
      <c r="AF15" s="51">
        <f t="shared" ca="1" si="19"/>
        <v>254.86166192348986</v>
      </c>
      <c r="AG15" s="51">
        <f t="shared" ca="1" si="19"/>
        <v>256.18850887585904</v>
      </c>
      <c r="AH15" s="51">
        <f t="shared" ca="1" si="19"/>
        <v>257.52605029173742</v>
      </c>
      <c r="AI15" s="51">
        <f t="shared" ca="1" si="19"/>
        <v>258.87437868964605</v>
      </c>
      <c r="AJ15" s="51">
        <f t="shared" ca="1" si="19"/>
        <v>260.23358741830521</v>
      </c>
      <c r="AK15" s="51">
        <f t="shared" ca="1" si="19"/>
        <v>261.60377066421415</v>
      </c>
      <c r="AL15" s="51">
        <f t="shared" ca="1" si="19"/>
        <v>262.98502345929603</v>
      </c>
      <c r="AM15" s="32">
        <f t="shared" ca="1" si="19"/>
        <v>264.3774416886161</v>
      </c>
      <c r="AN15" s="34">
        <f t="shared" ca="1" si="19"/>
        <v>265.78112209816965</v>
      </c>
      <c r="AO15" s="51">
        <f t="shared" ca="1" si="19"/>
        <v>267.19616230274141</v>
      </c>
      <c r="AP15" s="51">
        <f t="shared" ca="1" si="19"/>
        <v>268.62266079383528</v>
      </c>
      <c r="AQ15" s="51">
        <f t="shared" ca="1" si="19"/>
        <v>270.06071694768508</v>
      </c>
      <c r="AR15" s="51">
        <f t="shared" ca="1" si="19"/>
        <v>271.51043103332518</v>
      </c>
      <c r="AS15" s="51">
        <f t="shared" ca="1" si="19"/>
        <v>272.9719042207488</v>
      </c>
      <c r="AT15" s="51">
        <f t="shared" ca="1" si="19"/>
        <v>274.44523858913385</v>
      </c>
      <c r="AU15" s="51">
        <f t="shared" ca="1" si="19"/>
        <v>275.93053713514576</v>
      </c>
      <c r="AV15" s="51">
        <f t="shared" ca="1" si="19"/>
        <v>277.42790378131758</v>
      </c>
      <c r="AW15" s="51">
        <f t="shared" ca="1" si="19"/>
        <v>278.93744338450631</v>
      </c>
      <c r="AX15" s="51">
        <f t="shared" ca="1" si="19"/>
        <v>280.45926174442911</v>
      </c>
      <c r="AY15" s="32">
        <f t="shared" ca="1" si="19"/>
        <v>281.99346561227253</v>
      </c>
      <c r="AZ15" s="34">
        <f t="shared" ca="1" si="19"/>
        <v>283.54016269938847</v>
      </c>
      <c r="BA15" s="51">
        <f t="shared" ca="1" si="19"/>
        <v>285.09946168606422</v>
      </c>
      <c r="BB15" s="51">
        <f t="shared" ca="1" si="19"/>
        <v>286.67147223037585</v>
      </c>
      <c r="BC15" s="51">
        <f t="shared" ca="1" si="19"/>
        <v>288.25630497712109</v>
      </c>
      <c r="BD15" s="51">
        <f t="shared" ca="1" si="19"/>
        <v>289.85407156683823</v>
      </c>
      <c r="BE15" s="51">
        <f t="shared" ca="1" si="19"/>
        <v>291.4648846449029</v>
      </c>
      <c r="BF15" s="51">
        <f t="shared" ca="1" si="19"/>
        <v>293.08885787071182</v>
      </c>
      <c r="BG15" s="51">
        <f t="shared" ca="1" si="19"/>
        <v>294.72610592695173</v>
      </c>
      <c r="BH15" s="51">
        <f t="shared" ca="1" si="19"/>
        <v>296.37674452894856</v>
      </c>
      <c r="BI15" s="51">
        <f t="shared" ca="1" si="19"/>
        <v>298.04089043410943</v>
      </c>
      <c r="BJ15" s="51">
        <f t="shared" ca="1" si="19"/>
        <v>299.71866145144685</v>
      </c>
      <c r="BK15" s="32">
        <f t="shared" ca="1" si="19"/>
        <v>301.41017645119109</v>
      </c>
      <c r="BL15" s="34">
        <f t="shared" ca="1" si="19"/>
        <v>303.11555537449345</v>
      </c>
      <c r="BM15" s="51">
        <f t="shared" ca="1" si="19"/>
        <v>304.83491924321504</v>
      </c>
      <c r="BN15" s="51">
        <f t="shared" ca="1" si="19"/>
        <v>306.56839016980928</v>
      </c>
      <c r="BO15" s="51">
        <f t="shared" ca="1" si="19"/>
        <v>308.31609136729219</v>
      </c>
      <c r="BP15" s="51">
        <f t="shared" ca="1" si="19"/>
        <v>310.07814715930692</v>
      </c>
      <c r="BQ15" s="51">
        <f t="shared" ca="1" si="19"/>
        <v>311.85468299027934</v>
      </c>
      <c r="BR15" s="51">
        <f t="shared" ca="1" si="19"/>
        <v>313.64582543566792</v>
      </c>
      <c r="BS15" s="51">
        <f t="shared" ca="1" si="19"/>
        <v>315.45170221230757</v>
      </c>
      <c r="BT15" s="51">
        <f t="shared" ca="1" si="19"/>
        <v>317.2724421888459</v>
      </c>
      <c r="BU15" s="51">
        <f t="shared" ca="1" si="19"/>
        <v>319.1081753962834</v>
      </c>
      <c r="BV15" s="51">
        <f t="shared" ca="1" si="19"/>
        <v>320.95903303860064</v>
      </c>
      <c r="BW15" s="32">
        <f t="shared" ca="1" si="19"/>
        <v>322.82514750348906</v>
      </c>
    </row>
    <row r="16" spans="1:75" x14ac:dyDescent="0.25">
      <c r="A16" s="13"/>
      <c r="B16" s="37"/>
      <c r="C16" s="68" t="s">
        <v>55</v>
      </c>
      <c r="D16" s="34"/>
      <c r="E16" s="384">
        <f t="shared" ca="1" si="14"/>
        <v>238.38466313984873</v>
      </c>
      <c r="F16" s="384"/>
      <c r="G16" s="384">
        <f t="shared" ca="1" si="15"/>
        <v>25.992778548767376</v>
      </c>
      <c r="H16" s="384"/>
      <c r="I16" s="384">
        <f t="shared" ca="1" si="16"/>
        <v>17.616023923656428</v>
      </c>
      <c r="J16" s="384"/>
      <c r="K16" s="384">
        <f t="shared" ca="1" si="17"/>
        <v>19.416710838918561</v>
      </c>
      <c r="L16" s="384"/>
      <c r="M16" s="384">
        <f t="shared" ca="1" si="18"/>
        <v>21.414971052297972</v>
      </c>
      <c r="N16" s="384"/>
      <c r="P16" s="69">
        <f ca="1">P15</f>
        <v>215.01416666666671</v>
      </c>
      <c r="Q16" s="69">
        <f t="shared" ref="Q16:BW16" ca="1" si="20">Q15-P15</f>
        <v>1.1676689338312372</v>
      </c>
      <c r="R16" s="69">
        <f t="shared" ca="1" si="20"/>
        <v>1.1769900857607354</v>
      </c>
      <c r="S16" s="69">
        <f t="shared" ca="1" si="20"/>
        <v>1.1863914490429011</v>
      </c>
      <c r="T16" s="69">
        <f t="shared" ca="1" si="20"/>
        <v>1.1958737416176177</v>
      </c>
      <c r="U16" s="69">
        <f t="shared" ca="1" si="20"/>
        <v>11.205437687967787</v>
      </c>
      <c r="V16" s="53">
        <f t="shared" ca="1" si="20"/>
        <v>1.215084019182882</v>
      </c>
      <c r="W16" s="53">
        <f t="shared" ca="1" si="20"/>
        <v>1.224813473018969</v>
      </c>
      <c r="X16" s="53">
        <f t="shared" ca="1" si="20"/>
        <v>1.2346267939585118</v>
      </c>
      <c r="Y16" s="53">
        <f t="shared" ca="1" si="20"/>
        <v>1.2445247332735789</v>
      </c>
      <c r="Z16" s="53">
        <f t="shared" ca="1" si="20"/>
        <v>1.2545080490876899</v>
      </c>
      <c r="AA16" s="70">
        <f t="shared" ca="1" si="20"/>
        <v>1.264577506440105</v>
      </c>
      <c r="AB16" s="53">
        <f t="shared" ca="1" si="20"/>
        <v>11.274733877346364</v>
      </c>
      <c r="AC16" s="53">
        <f t="shared" ca="1" si="20"/>
        <v>1.2849779408656445</v>
      </c>
      <c r="AD16" s="53">
        <f t="shared" ca="1" si="20"/>
        <v>1.2953104831638598</v>
      </c>
      <c r="AE16" s="53">
        <f t="shared" ca="1" si="20"/>
        <v>1.3057322975785155</v>
      </c>
      <c r="AF16" s="53">
        <f t="shared" ca="1" si="20"/>
        <v>1.3162441846867523</v>
      </c>
      <c r="AG16" s="53">
        <f t="shared" ca="1" si="20"/>
        <v>1.3268469523691806</v>
      </c>
      <c r="AH16" s="53">
        <f t="shared" ca="1" si="20"/>
        <v>1.3375414158783769</v>
      </c>
      <c r="AI16" s="53">
        <f t="shared" ca="1" si="20"/>
        <v>1.3483283979086309</v>
      </c>
      <c r="AJ16" s="53">
        <f t="shared" ca="1" si="20"/>
        <v>1.359208728659155</v>
      </c>
      <c r="AK16" s="53">
        <f t="shared" ca="1" si="20"/>
        <v>1.3701832459089474</v>
      </c>
      <c r="AL16" s="53">
        <f t="shared" ca="1" si="20"/>
        <v>1.3812527950818776</v>
      </c>
      <c r="AM16" s="70">
        <f t="shared" ca="1" si="20"/>
        <v>1.3924182293200715</v>
      </c>
      <c r="AN16" s="53">
        <f t="shared" ca="1" si="20"/>
        <v>1.4036804095535445</v>
      </c>
      <c r="AO16" s="53">
        <f t="shared" ca="1" si="20"/>
        <v>1.4150402045717669</v>
      </c>
      <c r="AP16" s="53">
        <f t="shared" ca="1" si="20"/>
        <v>1.4264984910938665</v>
      </c>
      <c r="AQ16" s="53">
        <f t="shared" ca="1" si="20"/>
        <v>1.4380561538498</v>
      </c>
      <c r="AR16" s="53">
        <f t="shared" ca="1" si="20"/>
        <v>1.4497140856400961</v>
      </c>
      <c r="AS16" s="53">
        <f t="shared" ca="1" si="20"/>
        <v>1.4614731874236213</v>
      </c>
      <c r="AT16" s="53">
        <f t="shared" ca="1" si="20"/>
        <v>1.4733343683850535</v>
      </c>
      <c r="AU16" s="53">
        <f t="shared" ca="1" si="20"/>
        <v>1.4852985460119044</v>
      </c>
      <c r="AV16" s="53">
        <f t="shared" ca="1" si="20"/>
        <v>1.4973666461718267</v>
      </c>
      <c r="AW16" s="53">
        <f t="shared" ca="1" si="20"/>
        <v>1.5095396031887276</v>
      </c>
      <c r="AX16" s="53">
        <f t="shared" ca="1" si="20"/>
        <v>1.5218183599228041</v>
      </c>
      <c r="AY16" s="70">
        <f t="shared" ca="1" si="20"/>
        <v>1.5342038678434164</v>
      </c>
      <c r="AZ16" s="53">
        <f t="shared" ca="1" si="20"/>
        <v>1.5466970871159447</v>
      </c>
      <c r="BA16" s="53">
        <f t="shared" ca="1" si="20"/>
        <v>1.5592989866757421</v>
      </c>
      <c r="BB16" s="53">
        <f t="shared" ca="1" si="20"/>
        <v>1.5720105443116381</v>
      </c>
      <c r="BC16" s="53">
        <f t="shared" ca="1" si="20"/>
        <v>1.584832746745235</v>
      </c>
      <c r="BD16" s="53">
        <f t="shared" ca="1" si="20"/>
        <v>1.5977665897171391</v>
      </c>
      <c r="BE16" s="53">
        <f t="shared" ca="1" si="20"/>
        <v>1.6108130780646661</v>
      </c>
      <c r="BF16" s="53">
        <f t="shared" ca="1" si="20"/>
        <v>1.6239732258089248</v>
      </c>
      <c r="BG16" s="53">
        <f t="shared" ca="1" si="20"/>
        <v>1.6372480562399119</v>
      </c>
      <c r="BH16" s="53">
        <f t="shared" ca="1" si="20"/>
        <v>1.6506386019968318</v>
      </c>
      <c r="BI16" s="53">
        <f t="shared" ca="1" si="20"/>
        <v>1.6641459051608649</v>
      </c>
      <c r="BJ16" s="53">
        <f t="shared" ca="1" si="20"/>
        <v>1.6777710173374203</v>
      </c>
      <c r="BK16" s="70">
        <f t="shared" ca="1" si="20"/>
        <v>1.6915149997442427</v>
      </c>
      <c r="BL16" s="53">
        <f t="shared" ca="1" si="20"/>
        <v>1.7053789233023622</v>
      </c>
      <c r="BM16" s="53">
        <f t="shared" ca="1" si="20"/>
        <v>1.7193638687215866</v>
      </c>
      <c r="BN16" s="53">
        <f t="shared" ca="1" si="20"/>
        <v>1.7334709265942365</v>
      </c>
      <c r="BO16" s="53">
        <f t="shared" ca="1" si="20"/>
        <v>1.7477011974829111</v>
      </c>
      <c r="BP16" s="53">
        <f t="shared" ca="1" si="20"/>
        <v>1.7620557920147348</v>
      </c>
      <c r="BQ16" s="53">
        <f t="shared" ca="1" si="20"/>
        <v>1.7765358309724206</v>
      </c>
      <c r="BR16" s="53">
        <f t="shared" ca="1" si="20"/>
        <v>1.7911424453885729</v>
      </c>
      <c r="BS16" s="53">
        <f t="shared" ca="1" si="20"/>
        <v>1.80587677663965</v>
      </c>
      <c r="BT16" s="53">
        <f t="shared" ca="1" si="20"/>
        <v>1.8207399765383343</v>
      </c>
      <c r="BU16" s="53">
        <f t="shared" ca="1" si="20"/>
        <v>1.8357332074374995</v>
      </c>
      <c r="BV16" s="53">
        <f t="shared" ca="1" si="20"/>
        <v>1.8508576423172372</v>
      </c>
      <c r="BW16" s="70">
        <f t="shared" ca="1" si="20"/>
        <v>1.866114464888426</v>
      </c>
    </row>
    <row r="17" spans="1:75" x14ac:dyDescent="0.25">
      <c r="A17" s="13"/>
      <c r="B17" s="37"/>
      <c r="C17" s="71" t="s">
        <v>56</v>
      </c>
      <c r="D17" s="34"/>
      <c r="E17" s="383">
        <f t="shared" ca="1" si="14"/>
        <v>-238.38466313984873</v>
      </c>
      <c r="F17" s="383"/>
      <c r="G17" s="383">
        <f t="shared" ca="1" si="15"/>
        <v>-25.992778548767376</v>
      </c>
      <c r="H17" s="383"/>
      <c r="I17" s="383">
        <f t="shared" ca="1" si="16"/>
        <v>-17.616023923656428</v>
      </c>
      <c r="J17" s="383"/>
      <c r="K17" s="383">
        <f t="shared" ca="1" si="17"/>
        <v>-19.416710838918561</v>
      </c>
      <c r="L17" s="383"/>
      <c r="M17" s="383">
        <f t="shared" ca="1" si="18"/>
        <v>-21.414971052297972</v>
      </c>
      <c r="N17" s="383"/>
      <c r="P17" s="72">
        <f t="shared" ref="P17:BW17" ca="1" si="21">-P16</f>
        <v>-215.01416666666671</v>
      </c>
      <c r="Q17" s="72">
        <f t="shared" ca="1" si="21"/>
        <v>-1.1676689338312372</v>
      </c>
      <c r="R17" s="72">
        <f t="shared" ca="1" si="21"/>
        <v>-1.1769900857607354</v>
      </c>
      <c r="S17" s="72">
        <f t="shared" ca="1" si="21"/>
        <v>-1.1863914490429011</v>
      </c>
      <c r="T17" s="72">
        <f t="shared" ca="1" si="21"/>
        <v>-1.1958737416176177</v>
      </c>
      <c r="U17" s="72">
        <f t="shared" ca="1" si="21"/>
        <v>-11.205437687967787</v>
      </c>
      <c r="V17" s="73">
        <f t="shared" ca="1" si="21"/>
        <v>-1.215084019182882</v>
      </c>
      <c r="W17" s="73">
        <f t="shared" ca="1" si="21"/>
        <v>-1.224813473018969</v>
      </c>
      <c r="X17" s="73">
        <f t="shared" ca="1" si="21"/>
        <v>-1.2346267939585118</v>
      </c>
      <c r="Y17" s="73">
        <f t="shared" ca="1" si="21"/>
        <v>-1.2445247332735789</v>
      </c>
      <c r="Z17" s="73">
        <f t="shared" ca="1" si="21"/>
        <v>-1.2545080490876899</v>
      </c>
      <c r="AA17" s="73">
        <f t="shared" ca="1" si="21"/>
        <v>-1.264577506440105</v>
      </c>
      <c r="AB17" s="73">
        <f t="shared" ca="1" si="21"/>
        <v>-11.274733877346364</v>
      </c>
      <c r="AC17" s="73">
        <f t="shared" ca="1" si="21"/>
        <v>-1.2849779408656445</v>
      </c>
      <c r="AD17" s="73">
        <f t="shared" ca="1" si="21"/>
        <v>-1.2953104831638598</v>
      </c>
      <c r="AE17" s="73">
        <f t="shared" ca="1" si="21"/>
        <v>-1.3057322975785155</v>
      </c>
      <c r="AF17" s="73">
        <f t="shared" ca="1" si="21"/>
        <v>-1.3162441846867523</v>
      </c>
      <c r="AG17" s="73">
        <f t="shared" ca="1" si="21"/>
        <v>-1.3268469523691806</v>
      </c>
      <c r="AH17" s="73">
        <f t="shared" ca="1" si="21"/>
        <v>-1.3375414158783769</v>
      </c>
      <c r="AI17" s="73">
        <f t="shared" ca="1" si="21"/>
        <v>-1.3483283979086309</v>
      </c>
      <c r="AJ17" s="73">
        <f t="shared" ca="1" si="21"/>
        <v>-1.359208728659155</v>
      </c>
      <c r="AK17" s="73">
        <f t="shared" ca="1" si="21"/>
        <v>-1.3701832459089474</v>
      </c>
      <c r="AL17" s="73">
        <f t="shared" ca="1" si="21"/>
        <v>-1.3812527950818776</v>
      </c>
      <c r="AM17" s="73">
        <f t="shared" ca="1" si="21"/>
        <v>-1.3924182293200715</v>
      </c>
      <c r="AN17" s="73">
        <f t="shared" ca="1" si="21"/>
        <v>-1.4036804095535445</v>
      </c>
      <c r="AO17" s="73">
        <f t="shared" ca="1" si="21"/>
        <v>-1.4150402045717669</v>
      </c>
      <c r="AP17" s="73">
        <f t="shared" ca="1" si="21"/>
        <v>-1.4264984910938665</v>
      </c>
      <c r="AQ17" s="73">
        <f t="shared" ca="1" si="21"/>
        <v>-1.4380561538498</v>
      </c>
      <c r="AR17" s="73">
        <f t="shared" ca="1" si="21"/>
        <v>-1.4497140856400961</v>
      </c>
      <c r="AS17" s="73">
        <f t="shared" ca="1" si="21"/>
        <v>-1.4614731874236213</v>
      </c>
      <c r="AT17" s="73">
        <f t="shared" ca="1" si="21"/>
        <v>-1.4733343683850535</v>
      </c>
      <c r="AU17" s="73">
        <f t="shared" ca="1" si="21"/>
        <v>-1.4852985460119044</v>
      </c>
      <c r="AV17" s="73">
        <f t="shared" ca="1" si="21"/>
        <v>-1.4973666461718267</v>
      </c>
      <c r="AW17" s="73">
        <f t="shared" ca="1" si="21"/>
        <v>-1.5095396031887276</v>
      </c>
      <c r="AX17" s="73">
        <f t="shared" ca="1" si="21"/>
        <v>-1.5218183599228041</v>
      </c>
      <c r="AY17" s="73">
        <f t="shared" ca="1" si="21"/>
        <v>-1.5342038678434164</v>
      </c>
      <c r="AZ17" s="73">
        <f t="shared" ca="1" si="21"/>
        <v>-1.5466970871159447</v>
      </c>
      <c r="BA17" s="73">
        <f t="shared" ca="1" si="21"/>
        <v>-1.5592989866757421</v>
      </c>
      <c r="BB17" s="73">
        <f t="shared" ca="1" si="21"/>
        <v>-1.5720105443116381</v>
      </c>
      <c r="BC17" s="73">
        <f t="shared" ca="1" si="21"/>
        <v>-1.584832746745235</v>
      </c>
      <c r="BD17" s="73">
        <f t="shared" ca="1" si="21"/>
        <v>-1.5977665897171391</v>
      </c>
      <c r="BE17" s="73">
        <f t="shared" ca="1" si="21"/>
        <v>-1.6108130780646661</v>
      </c>
      <c r="BF17" s="73">
        <f t="shared" ca="1" si="21"/>
        <v>-1.6239732258089248</v>
      </c>
      <c r="BG17" s="73">
        <f t="shared" ca="1" si="21"/>
        <v>-1.6372480562399119</v>
      </c>
      <c r="BH17" s="73">
        <f t="shared" ca="1" si="21"/>
        <v>-1.6506386019968318</v>
      </c>
      <c r="BI17" s="73">
        <f t="shared" ca="1" si="21"/>
        <v>-1.6641459051608649</v>
      </c>
      <c r="BJ17" s="73">
        <f t="shared" ca="1" si="21"/>
        <v>-1.6777710173374203</v>
      </c>
      <c r="BK17" s="73">
        <f t="shared" ca="1" si="21"/>
        <v>-1.6915149997442427</v>
      </c>
      <c r="BL17" s="73">
        <f t="shared" ca="1" si="21"/>
        <v>-1.7053789233023622</v>
      </c>
      <c r="BM17" s="73">
        <f t="shared" ca="1" si="21"/>
        <v>-1.7193638687215866</v>
      </c>
      <c r="BN17" s="73">
        <f t="shared" ca="1" si="21"/>
        <v>-1.7334709265942365</v>
      </c>
      <c r="BO17" s="73">
        <f t="shared" ca="1" si="21"/>
        <v>-1.7477011974829111</v>
      </c>
      <c r="BP17" s="73">
        <f t="shared" ca="1" si="21"/>
        <v>-1.7620557920147348</v>
      </c>
      <c r="BQ17" s="73">
        <f t="shared" ca="1" si="21"/>
        <v>-1.7765358309724206</v>
      </c>
      <c r="BR17" s="73">
        <f t="shared" ca="1" si="21"/>
        <v>-1.7911424453885729</v>
      </c>
      <c r="BS17" s="73">
        <f t="shared" ca="1" si="21"/>
        <v>-1.80587677663965</v>
      </c>
      <c r="BT17" s="73">
        <f t="shared" ca="1" si="21"/>
        <v>-1.8207399765383343</v>
      </c>
      <c r="BU17" s="73">
        <f t="shared" ca="1" si="21"/>
        <v>-1.8357332074374995</v>
      </c>
      <c r="BV17" s="73">
        <f t="shared" ca="1" si="21"/>
        <v>-1.8508576423172372</v>
      </c>
      <c r="BW17" s="73">
        <f t="shared" ca="1" si="21"/>
        <v>-1.866114464888426</v>
      </c>
    </row>
    <row r="18" spans="1:75" s="49" customFormat="1" x14ac:dyDescent="0.25">
      <c r="A18" s="37"/>
      <c r="B18" s="37"/>
      <c r="C18" s="74" t="s">
        <v>46</v>
      </c>
      <c r="D18" s="34"/>
      <c r="E18" s="374">
        <f t="shared" ca="1" si="14"/>
        <v>-2.4963182415828982</v>
      </c>
      <c r="F18" s="374"/>
      <c r="G18" s="374">
        <f t="shared" ca="1" si="15"/>
        <v>397.7066173079703</v>
      </c>
      <c r="H18" s="374"/>
      <c r="I18" s="374">
        <f t="shared" ca="1" si="16"/>
        <v>423.70533531550342</v>
      </c>
      <c r="J18" s="374"/>
      <c r="K18" s="374">
        <f t="shared" ca="1" si="17"/>
        <v>461.86299860490078</v>
      </c>
      <c r="L18" s="374"/>
      <c r="M18" s="374">
        <f t="shared" ca="1" si="18"/>
        <v>502.29183466431436</v>
      </c>
      <c r="N18" s="374"/>
      <c r="P18" s="75">
        <f t="shared" ref="P18:BW18" ca="1" si="22">SUM(P8:P10,P17)</f>
        <v>-189.4641666666667</v>
      </c>
      <c r="Q18" s="75">
        <f t="shared" ca="1" si="22"/>
        <v>28.614828663724541</v>
      </c>
      <c r="R18" s="75">
        <f t="shared" ca="1" si="22"/>
        <v>-21.160809573955074</v>
      </c>
      <c r="S18" s="75">
        <f t="shared" ca="1" si="22"/>
        <v>29.064662777093631</v>
      </c>
      <c r="T18" s="75">
        <f t="shared" ca="1" si="22"/>
        <v>29.29125050682568</v>
      </c>
      <c r="U18" s="76">
        <f t="shared" ca="1" si="22"/>
        <v>-77.62389871958834</v>
      </c>
      <c r="V18" s="49">
        <f t="shared" ca="1" si="22"/>
        <v>32.604934209711416</v>
      </c>
      <c r="W18" s="49">
        <f t="shared" ca="1" si="22"/>
        <v>32.83489699617963</v>
      </c>
      <c r="X18" s="49">
        <f t="shared" ca="1" si="22"/>
        <v>33.065994502344125</v>
      </c>
      <c r="Y18" s="49">
        <f t="shared" ca="1" si="22"/>
        <v>33.298231608995131</v>
      </c>
      <c r="Z18" s="49">
        <f t="shared" ca="1" si="22"/>
        <v>33.371613215233943</v>
      </c>
      <c r="AA18" s="49">
        <f t="shared" ca="1" si="22"/>
        <v>33.606144238519086</v>
      </c>
      <c r="AB18" s="49">
        <f t="shared" ca="1" si="22"/>
        <v>23.841829614717135</v>
      </c>
      <c r="AC18" s="49">
        <f t="shared" ca="1" si="22"/>
        <v>34.078674298147142</v>
      </c>
      <c r="AD18" s="49">
        <f t="shared" ca="1" si="22"/>
        <v>34.316683261629592</v>
      </c>
      <c r="AE18" s="49">
        <f t="shared" ca="1" si="22"/>
        <v>34.555861496534192</v>
      </c>
      <c r="AF18" s="49">
        <f t="shared" ca="1" si="22"/>
        <v>34.796214012825281</v>
      </c>
      <c r="AG18" s="49">
        <f t="shared" ca="1" si="22"/>
        <v>35.037745839111381</v>
      </c>
      <c r="AH18" s="49">
        <f t="shared" ca="1" si="22"/>
        <v>35.280462022690962</v>
      </c>
      <c r="AI18" s="49">
        <f t="shared" ca="1" si="22"/>
        <v>32.667224772454645</v>
      </c>
      <c r="AJ18" s="49">
        <f t="shared" ca="1" si="22"/>
        <v>32.912324887508262</v>
      </c>
      <c r="AK18" s="49">
        <f t="shared" ca="1" si="22"/>
        <v>33.15862461435691</v>
      </c>
      <c r="AL18" s="49">
        <f t="shared" ca="1" si="22"/>
        <v>33.406129075527161</v>
      </c>
      <c r="AM18" s="49">
        <f t="shared" ca="1" si="22"/>
        <v>33.65484341246772</v>
      </c>
      <c r="AN18" s="49">
        <f t="shared" ca="1" si="22"/>
        <v>33.904772785596847</v>
      </c>
      <c r="AO18" s="49">
        <f t="shared" ca="1" si="22"/>
        <v>34.155922374348521</v>
      </c>
      <c r="AP18" s="49">
        <f t="shared" ca="1" si="22"/>
        <v>34.408297377220379</v>
      </c>
      <c r="AQ18" s="49">
        <f t="shared" ca="1" si="22"/>
        <v>34.661903011811745</v>
      </c>
      <c r="AR18" s="49">
        <f t="shared" ca="1" si="22"/>
        <v>34.916744514882353</v>
      </c>
      <c r="AS18" s="49">
        <f t="shared" ca="1" si="22"/>
        <v>35.172827142384889</v>
      </c>
      <c r="AT18" s="49">
        <f t="shared" ca="1" si="22"/>
        <v>35.430156169517915</v>
      </c>
      <c r="AU18" s="49">
        <f t="shared" ca="1" si="22"/>
        <v>35.688736890769192</v>
      </c>
      <c r="AV18" s="49">
        <f t="shared" ca="1" si="22"/>
        <v>35.948574619960056</v>
      </c>
      <c r="AW18" s="49">
        <f t="shared" ca="1" si="22"/>
        <v>36.209674690291244</v>
      </c>
      <c r="AX18" s="49">
        <f t="shared" ca="1" si="22"/>
        <v>36.472042454384948</v>
      </c>
      <c r="AY18" s="49">
        <f t="shared" ca="1" si="22"/>
        <v>36.735683284335245</v>
      </c>
      <c r="AZ18" s="49">
        <f t="shared" ca="1" si="22"/>
        <v>37.000602571744409</v>
      </c>
      <c r="BA18" s="49">
        <f t="shared" ca="1" si="22"/>
        <v>37.26680572777326</v>
      </c>
      <c r="BB18" s="49">
        <f t="shared" ca="1" si="22"/>
        <v>37.534298183182116</v>
      </c>
      <c r="BC18" s="49">
        <f t="shared" ca="1" si="22"/>
        <v>37.803085388376275</v>
      </c>
      <c r="BD18" s="49">
        <f t="shared" ca="1" si="22"/>
        <v>38.073172813446234</v>
      </c>
      <c r="BE18" s="49">
        <f t="shared" ca="1" si="22"/>
        <v>38.344565948215219</v>
      </c>
      <c r="BF18" s="49">
        <f t="shared" ca="1" si="22"/>
        <v>38.617270302279721</v>
      </c>
      <c r="BG18" s="49">
        <f t="shared" ca="1" si="22"/>
        <v>38.891291405051106</v>
      </c>
      <c r="BH18" s="49">
        <f t="shared" ca="1" si="22"/>
        <v>39.166634805803326</v>
      </c>
      <c r="BI18" s="49">
        <f t="shared" ca="1" si="22"/>
        <v>39.44330607370884</v>
      </c>
      <c r="BJ18" s="49">
        <f t="shared" ca="1" si="22"/>
        <v>39.721310797884911</v>
      </c>
      <c r="BK18" s="49">
        <f t="shared" ca="1" si="22"/>
        <v>40.000654587435271</v>
      </c>
      <c r="BL18" s="49">
        <f t="shared" ca="1" si="22"/>
        <v>40.281343071489452</v>
      </c>
      <c r="BM18" s="49">
        <f t="shared" ca="1" si="22"/>
        <v>40.563381899247467</v>
      </c>
      <c r="BN18" s="49">
        <f t="shared" ca="1" si="22"/>
        <v>40.846776740017944</v>
      </c>
      <c r="BO18" s="49">
        <f t="shared" ca="1" si="22"/>
        <v>41.131533283261717</v>
      </c>
      <c r="BP18" s="49">
        <f t="shared" ca="1" si="22"/>
        <v>41.417657238630156</v>
      </c>
      <c r="BQ18" s="49">
        <f t="shared" ca="1" si="22"/>
        <v>41.705154336006864</v>
      </c>
      <c r="BR18" s="49">
        <f t="shared" ca="1" si="22"/>
        <v>41.994030325547548</v>
      </c>
      <c r="BS18" s="49">
        <f t="shared" ca="1" si="22"/>
        <v>42.284290977719408</v>
      </c>
      <c r="BT18" s="49">
        <f t="shared" ca="1" si="22"/>
        <v>42.575942083343847</v>
      </c>
      <c r="BU18" s="49">
        <f t="shared" ca="1" si="22"/>
        <v>42.868989453628032</v>
      </c>
      <c r="BV18" s="49">
        <f t="shared" ca="1" si="22"/>
        <v>43.163438920213331</v>
      </c>
      <c r="BW18" s="49">
        <f t="shared" ca="1" si="22"/>
        <v>43.459296335208627</v>
      </c>
    </row>
    <row r="19" spans="1:75" x14ac:dyDescent="0.25">
      <c r="A19" s="13"/>
      <c r="B19" s="37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Q19" s="16"/>
      <c r="Y19" s="77"/>
      <c r="Z19" s="77"/>
      <c r="AC19" s="16"/>
      <c r="AD19" s="77"/>
      <c r="AK19" s="77"/>
      <c r="AL19" s="77"/>
      <c r="AO19" s="16"/>
      <c r="AP19" s="77"/>
      <c r="AW19" s="77"/>
      <c r="AX19" s="77"/>
      <c r="BA19" s="16"/>
      <c r="BB19" s="77"/>
      <c r="BI19" s="77"/>
      <c r="BJ19" s="77"/>
      <c r="BK19" s="16"/>
      <c r="BL19" s="16"/>
      <c r="BM19" s="16"/>
      <c r="BN19" s="77"/>
      <c r="BO19" s="16"/>
    </row>
    <row r="20" spans="1:75" s="13" customFormat="1" ht="14.4" x14ac:dyDescent="0.2">
      <c r="A20" s="5"/>
      <c r="B20" s="37"/>
      <c r="D20" s="36"/>
      <c r="E20" s="78" t="s">
        <v>57</v>
      </c>
      <c r="F20" s="78"/>
      <c r="G20" s="78"/>
      <c r="H20" s="78"/>
      <c r="I20" s="78"/>
      <c r="J20" s="36"/>
      <c r="K20" s="78" t="s">
        <v>58</v>
      </c>
      <c r="L20" s="78"/>
      <c r="M20" s="78"/>
      <c r="N20" s="78"/>
      <c r="O20" s="78"/>
      <c r="P20" s="36"/>
      <c r="R20" s="5"/>
      <c r="T20" s="36"/>
      <c r="U20" s="36"/>
      <c r="V20" s="36"/>
      <c r="W20" s="36"/>
      <c r="X20" s="36"/>
      <c r="Y20" s="36"/>
      <c r="Z20" s="36"/>
      <c r="AA20" s="36"/>
      <c r="AB20" s="36"/>
      <c r="AC20" s="5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5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5"/>
      <c r="BB20" s="36"/>
      <c r="BC20" s="36"/>
      <c r="BD20" s="36"/>
      <c r="BE20" s="36"/>
      <c r="BF20" s="36"/>
      <c r="BG20" s="36"/>
      <c r="BH20" s="36"/>
    </row>
    <row r="21" spans="1:75" s="13" customFormat="1" ht="3.6" customHeight="1" x14ac:dyDescent="0.2">
      <c r="B21" s="37"/>
      <c r="C21" s="79"/>
      <c r="D21" s="36"/>
      <c r="E21" s="78"/>
      <c r="F21" s="78"/>
      <c r="G21" s="78"/>
      <c r="H21" s="78"/>
      <c r="I21" s="78"/>
      <c r="K21" s="78"/>
      <c r="L21" s="78"/>
      <c r="M21" s="78"/>
      <c r="N21" s="78"/>
      <c r="O21" s="78"/>
      <c r="P21" s="36"/>
      <c r="R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</row>
    <row r="22" spans="1:75" x14ac:dyDescent="0.25">
      <c r="A22" s="37"/>
      <c r="B22" s="37"/>
      <c r="E22" s="61" t="s">
        <v>59</v>
      </c>
      <c r="F22" s="61"/>
      <c r="G22" s="80"/>
      <c r="H22" s="381" cm="1">
        <f t="array" aca="1" ref="H22" ca="1">SUMPRODUCT(P18:BW18/(1+WACC)^(P3:BW3/12))</f>
        <v>1332.5439126692845</v>
      </c>
      <c r="I22" s="381"/>
      <c r="K22" s="61" t="s">
        <v>41</v>
      </c>
      <c r="L22" s="80"/>
      <c r="M22" s="81"/>
      <c r="N22" s="382">
        <f>ValEvEbitda</f>
        <v>5</v>
      </c>
      <c r="O22" s="382"/>
      <c r="AC22" s="16"/>
      <c r="AO22" s="16"/>
      <c r="BA22" s="16"/>
    </row>
    <row r="23" spans="1:75" x14ac:dyDescent="0.25">
      <c r="A23" s="43"/>
      <c r="B23" s="37"/>
      <c r="E23" s="82" t="s">
        <v>60</v>
      </c>
      <c r="F23" s="82"/>
      <c r="G23" s="83"/>
      <c r="H23" s="379">
        <f ca="1" xml:space="preserve">  (SUM(BL18:BW18)*(1+ValTerminal) / (WACC-ValTerminal)) / (1+WACC)^(BW3/12)</f>
        <v>4594.5370916603324</v>
      </c>
      <c r="I23" s="379"/>
      <c r="K23" s="84" t="s">
        <v>61</v>
      </c>
      <c r="L23" s="83"/>
      <c r="M23" s="83"/>
      <c r="N23" s="376">
        <f>Income!F13</f>
        <v>672.83232642789631</v>
      </c>
      <c r="O23" s="376"/>
      <c r="AC23" s="16"/>
      <c r="AO23" s="16"/>
      <c r="BA23" s="16"/>
    </row>
    <row r="24" spans="1:75" x14ac:dyDescent="0.25">
      <c r="A24" s="44"/>
      <c r="B24" s="37"/>
      <c r="E24" s="49" t="s">
        <v>62</v>
      </c>
      <c r="H24" s="377">
        <f ca="1">SUM(H22:H23)</f>
        <v>5927.0810043296169</v>
      </c>
      <c r="I24" s="377"/>
      <c r="K24" s="49" t="s">
        <v>62</v>
      </c>
      <c r="M24" s="14"/>
      <c r="N24" s="380">
        <f>N22*N23</f>
        <v>3364.1616321394813</v>
      </c>
      <c r="O24" s="380"/>
      <c r="Q24" s="16"/>
      <c r="AC24" s="16"/>
      <c r="AO24" s="16"/>
      <c r="BA24" s="16"/>
    </row>
    <row r="25" spans="1:75" x14ac:dyDescent="0.25">
      <c r="B25" s="37"/>
      <c r="E25" s="61" t="s">
        <v>63</v>
      </c>
      <c r="F25" s="85"/>
      <c r="G25" s="80"/>
      <c r="H25" s="381">
        <f>-SUM(Balance!F22,Balance!F24)</f>
        <v>-230</v>
      </c>
      <c r="I25" s="381"/>
      <c r="K25" s="61" t="s">
        <v>64</v>
      </c>
      <c r="L25" s="80"/>
      <c r="M25" s="80"/>
      <c r="N25" s="382">
        <f>ValPE</f>
        <v>8</v>
      </c>
      <c r="O25" s="382"/>
      <c r="Q25" s="16"/>
      <c r="AC25" s="16"/>
      <c r="AO25" s="16"/>
      <c r="BA25" s="16"/>
    </row>
    <row r="26" spans="1:75" x14ac:dyDescent="0.25">
      <c r="A26" s="13"/>
      <c r="B26" s="37"/>
      <c r="E26" s="82" t="s">
        <v>65</v>
      </c>
      <c r="F26" s="86"/>
      <c r="G26" s="83"/>
      <c r="H26" s="375">
        <f ca="1">Balance!F5</f>
        <v>757.42595516306733</v>
      </c>
      <c r="I26" s="375"/>
      <c r="K26" s="84" t="s">
        <v>66</v>
      </c>
      <c r="L26" s="83"/>
      <c r="M26" s="87"/>
      <c r="N26" s="376">
        <f>Income!F23</f>
        <v>362.46439585673778</v>
      </c>
      <c r="O26" s="376"/>
      <c r="Q26" s="16"/>
      <c r="AC26" s="16"/>
      <c r="AO26" s="16"/>
      <c r="BA26" s="16"/>
    </row>
    <row r="27" spans="1:75" x14ac:dyDescent="0.25">
      <c r="B27" s="37"/>
      <c r="E27" s="49" t="s">
        <v>67</v>
      </c>
      <c r="F27" s="14"/>
      <c r="H27" s="377">
        <f ca="1">SUM(H24,H25:I26)</f>
        <v>6454.5069594926845</v>
      </c>
      <c r="I27" s="377"/>
      <c r="J27" s="14"/>
      <c r="K27" s="49" t="s">
        <v>67</v>
      </c>
      <c r="M27" s="14"/>
      <c r="N27" s="378">
        <f>N25*N26</f>
        <v>2899.7151668539022</v>
      </c>
      <c r="O27" s="378"/>
    </row>
  </sheetData>
  <sheetProtection algorithmName="SHA-512" hashValue="GWt7dLg6pzGkKNZ9uXNlrx1CgAJwUCfl9aYKN8apmQyzCVLLhl/lle0pXaJ8iaSTM9zPd2toJ2rpNvY9WIbcCQ==" saltValue="rakgeEFRLK69J4idlYFsxw==" spinCount="100000" sheet="1" objects="1" scenarios="1" selectLockedCells="1" selectUnlockedCells="1"/>
  <mergeCells count="87">
    <mergeCell ref="E3:F3"/>
    <mergeCell ref="G3:H3"/>
    <mergeCell ref="I3:J3"/>
    <mergeCell ref="K3:L3"/>
    <mergeCell ref="M3:N3"/>
    <mergeCell ref="E5:F5"/>
    <mergeCell ref="G5:H5"/>
    <mergeCell ref="I5:J5"/>
    <mergeCell ref="K5:L5"/>
    <mergeCell ref="M5:N5"/>
    <mergeCell ref="E7:F7"/>
    <mergeCell ref="G7:H7"/>
    <mergeCell ref="I7:J7"/>
    <mergeCell ref="K7:L7"/>
    <mergeCell ref="M7:N7"/>
    <mergeCell ref="E6:F6"/>
    <mergeCell ref="G6:H6"/>
    <mergeCell ref="I6:J6"/>
    <mergeCell ref="K6:L6"/>
    <mergeCell ref="M6:N6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E11:F11"/>
    <mergeCell ref="G11:H11"/>
    <mergeCell ref="I11:J11"/>
    <mergeCell ref="K11:L11"/>
    <mergeCell ref="M11:N11"/>
    <mergeCell ref="E10:F10"/>
    <mergeCell ref="G10:H10"/>
    <mergeCell ref="I10:J10"/>
    <mergeCell ref="K10:L10"/>
    <mergeCell ref="M10:N10"/>
    <mergeCell ref="E13:F13"/>
    <mergeCell ref="G13:H13"/>
    <mergeCell ref="I13:J13"/>
    <mergeCell ref="K13:L13"/>
    <mergeCell ref="M13:N13"/>
    <mergeCell ref="E12:F12"/>
    <mergeCell ref="G12:H12"/>
    <mergeCell ref="I12:J12"/>
    <mergeCell ref="K12:L12"/>
    <mergeCell ref="M12:N12"/>
    <mergeCell ref="M14:N14"/>
    <mergeCell ref="E15:F15"/>
    <mergeCell ref="G15:H15"/>
    <mergeCell ref="I15:J15"/>
    <mergeCell ref="K15:L15"/>
    <mergeCell ref="M15:N15"/>
    <mergeCell ref="E18:F18"/>
    <mergeCell ref="G18:H18"/>
    <mergeCell ref="I18:J18"/>
    <mergeCell ref="K18:L18"/>
    <mergeCell ref="E14:F14"/>
    <mergeCell ref="G14:H14"/>
    <mergeCell ref="I14:J14"/>
    <mergeCell ref="K14:L14"/>
    <mergeCell ref="E17:F17"/>
    <mergeCell ref="G17:H17"/>
    <mergeCell ref="I17:J17"/>
    <mergeCell ref="K17:L17"/>
    <mergeCell ref="M17:N17"/>
    <mergeCell ref="E16:F16"/>
    <mergeCell ref="G16:H16"/>
    <mergeCell ref="I16:J16"/>
    <mergeCell ref="K16:L16"/>
    <mergeCell ref="M16:N16"/>
    <mergeCell ref="M18:N18"/>
    <mergeCell ref="H26:I26"/>
    <mergeCell ref="N26:O26"/>
    <mergeCell ref="H27:I27"/>
    <mergeCell ref="N27:O27"/>
    <mergeCell ref="H23:I23"/>
    <mergeCell ref="N23:O23"/>
    <mergeCell ref="H24:I24"/>
    <mergeCell ref="N24:O24"/>
    <mergeCell ref="H25:I25"/>
    <mergeCell ref="N25:O25"/>
    <mergeCell ref="H22:I22"/>
    <mergeCell ref="N22:O22"/>
  </mergeCells>
  <printOptions horizontalCentered="1"/>
  <pageMargins left="0.5" right="0.5" top="0.75" bottom="0.5" header="0.3" footer="0.3"/>
  <pageSetup fitToWidth="5" orientation="landscape" r:id="rId1"/>
  <headerFooter scaleWithDoc="0" alignWithMargins="0">
    <oddFooter>&amp;L&amp;10Valuation p.&amp;P of &amp;N&amp;R&amp;10Updated &amp;D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AF091-6544-46CE-A1DA-C8F133C65552}">
  <sheetPr codeName="Sheet10">
    <tabColor theme="0"/>
    <outlinePr showOutlineSymbols="0"/>
    <pageSetUpPr fitToPage="1"/>
  </sheetPr>
  <dimension ref="A1:U28"/>
  <sheetViews>
    <sheetView showGridLines="0" showRowColHeaders="0" showZeros="0" showOutlineSymbols="0" zoomScaleNormal="100" workbookViewId="0"/>
  </sheetViews>
  <sheetFormatPr defaultColWidth="9.109375" defaultRowHeight="12.6" x14ac:dyDescent="0.25"/>
  <cols>
    <col min="1" max="1" width="3" style="5" customWidth="1"/>
    <col min="2" max="2" width="1.6640625" style="134" customWidth="1"/>
    <col min="3" max="3" width="21.88671875" style="34" customWidth="1"/>
    <col min="4" max="4" width="1.109375" style="29" customWidth="1"/>
    <col min="5" max="5" width="8.88671875" style="34" customWidth="1"/>
    <col min="6" max="6" width="1.109375" style="29" customWidth="1"/>
    <col min="7" max="7" width="8.88671875" style="34" customWidth="1"/>
    <col min="8" max="8" width="7.77734375" style="33" customWidth="1"/>
    <col min="9" max="9" width="8.44140625" style="33" bestFit="1" customWidth="1"/>
    <col min="10" max="10" width="1.109375" style="33" customWidth="1"/>
    <col min="11" max="11" width="8.88671875" style="34" customWidth="1"/>
    <col min="12" max="13" width="7.77734375" style="33" customWidth="1"/>
    <col min="14" max="14" width="1.109375" style="29" customWidth="1"/>
    <col min="15" max="15" width="8.88671875" style="34" customWidth="1"/>
    <col min="16" max="17" width="7.77734375" style="33" customWidth="1"/>
    <col min="18" max="18" width="1.109375" style="29" customWidth="1"/>
    <col min="19" max="19" width="8.88671875" style="34" customWidth="1"/>
    <col min="20" max="21" width="7.77734375" style="33" customWidth="1"/>
    <col min="22" max="16384" width="9.109375" style="34"/>
  </cols>
  <sheetData>
    <row r="1" spans="1:21" s="2" customFormat="1" ht="10.199999999999999" x14ac:dyDescent="0.2">
      <c r="A1" s="1" t="s">
        <v>0</v>
      </c>
      <c r="N1" s="3"/>
      <c r="R1" s="4"/>
      <c r="T1" s="4"/>
    </row>
    <row r="2" spans="1:21" s="5" customFormat="1" ht="21" customHeight="1" x14ac:dyDescent="0.2">
      <c r="B2" s="41"/>
      <c r="D2" s="36"/>
      <c r="E2" s="36"/>
      <c r="F2" s="36"/>
      <c r="G2" s="36"/>
      <c r="H2" s="36"/>
      <c r="I2" s="36"/>
      <c r="J2" s="36"/>
    </row>
    <row r="3" spans="1:21" s="12" customFormat="1" ht="19.8" x14ac:dyDescent="0.4">
      <c r="A3" s="6"/>
      <c r="B3" s="13"/>
      <c r="C3" s="7" t="s">
        <v>1</v>
      </c>
      <c r="D3" s="8"/>
      <c r="E3" s="390" t="s">
        <v>2</v>
      </c>
      <c r="F3" s="9"/>
      <c r="G3" s="390" t="s">
        <v>3</v>
      </c>
      <c r="H3" s="389" t="s">
        <v>4</v>
      </c>
      <c r="I3" s="389" t="s">
        <v>5</v>
      </c>
      <c r="J3" s="10"/>
      <c r="K3" s="390" t="s">
        <v>6</v>
      </c>
      <c r="L3" s="389" t="s">
        <v>4</v>
      </c>
      <c r="M3" s="389" t="s">
        <v>5</v>
      </c>
      <c r="N3" s="11"/>
      <c r="O3" s="390" t="s">
        <v>7</v>
      </c>
      <c r="P3" s="389" t="s">
        <v>4</v>
      </c>
      <c r="Q3" s="389" t="s">
        <v>5</v>
      </c>
      <c r="R3" s="11"/>
      <c r="S3" s="390" t="s">
        <v>8</v>
      </c>
      <c r="T3" s="389" t="s">
        <v>4</v>
      </c>
      <c r="U3" s="389" t="s">
        <v>5</v>
      </c>
    </row>
    <row r="4" spans="1:21" s="14" customFormat="1" ht="6" customHeight="1" x14ac:dyDescent="0.25">
      <c r="A4" s="13"/>
      <c r="B4" s="79"/>
      <c r="E4" s="390"/>
      <c r="F4" s="15"/>
      <c r="G4" s="390"/>
      <c r="H4" s="389"/>
      <c r="I4" s="389"/>
      <c r="J4" s="15"/>
      <c r="K4" s="390"/>
      <c r="L4" s="389"/>
      <c r="M4" s="389"/>
      <c r="N4" s="16"/>
      <c r="O4" s="390"/>
      <c r="P4" s="389"/>
      <c r="Q4" s="389"/>
      <c r="R4" s="15"/>
      <c r="S4" s="390"/>
      <c r="T4" s="389"/>
      <c r="U4" s="389"/>
    </row>
    <row r="5" spans="1:21" s="19" customFormat="1" x14ac:dyDescent="0.25">
      <c r="A5" s="17"/>
      <c r="B5" s="75"/>
      <c r="C5" s="18" t="s">
        <v>9</v>
      </c>
      <c r="E5" s="390"/>
      <c r="G5" s="390"/>
      <c r="H5" s="389"/>
      <c r="I5" s="389"/>
      <c r="J5" s="20"/>
      <c r="K5" s="390"/>
      <c r="L5" s="389"/>
      <c r="M5" s="389"/>
      <c r="O5" s="390"/>
      <c r="P5" s="389"/>
      <c r="Q5" s="389"/>
      <c r="S5" s="390"/>
      <c r="T5" s="389"/>
      <c r="U5" s="389"/>
    </row>
    <row r="6" spans="1:21" s="19" customFormat="1" x14ac:dyDescent="0.25">
      <c r="A6" s="17"/>
      <c r="B6" s="34"/>
      <c r="C6" s="21" t="s">
        <v>11</v>
      </c>
      <c r="E6" s="22">
        <f>CapEx!E11</f>
        <v>154</v>
      </c>
      <c r="F6" s="23"/>
      <c r="G6" s="22">
        <f>CapEx!F11</f>
        <v>0</v>
      </c>
      <c r="H6" s="24">
        <f t="shared" ref="H6:H7" si="0">G6-E6</f>
        <v>-154</v>
      </c>
      <c r="I6" s="25" t="str">
        <f t="shared" ref="I6:I7" si="1">IFERROR(  IF(G6/E6-1=-1,    "n/a",    IF(   G6/E6-1  =-2,"repaid",G6/E6-1)),          0)</f>
        <v>n/a</v>
      </c>
      <c r="J6" s="26"/>
      <c r="K6" s="22">
        <f>CapEx!G11</f>
        <v>0</v>
      </c>
      <c r="L6" s="27">
        <f>K6-G6</f>
        <v>0</v>
      </c>
      <c r="M6" s="26">
        <f>IFERROR(IF(K6/G6-1=-1,"n/a",K6/G6-1),0)</f>
        <v>0</v>
      </c>
      <c r="N6" s="23"/>
      <c r="O6" s="22">
        <f>CapEx!H11</f>
        <v>0</v>
      </c>
      <c r="P6" s="27">
        <f>O6-K6</f>
        <v>0</v>
      </c>
      <c r="Q6" s="26">
        <f>IFERROR(IF(O6/K6-1=-1,"n/a",O6/K6-1),0)</f>
        <v>0</v>
      </c>
      <c r="R6" s="23"/>
      <c r="S6" s="22">
        <f>CapEx!I11</f>
        <v>0</v>
      </c>
      <c r="T6" s="27">
        <f>S6-O6</f>
        <v>0</v>
      </c>
      <c r="U6" s="26">
        <f>IFERROR(IF(S6/O6-1=-1,"n/a",S6/O6-1),0)</f>
        <v>0</v>
      </c>
    </row>
    <row r="7" spans="1:21" s="19" customFormat="1" x14ac:dyDescent="0.25">
      <c r="A7" s="17"/>
      <c r="B7" s="34"/>
      <c r="C7" s="21" t="s">
        <v>12</v>
      </c>
      <c r="E7" s="22">
        <f>CapEx!E19</f>
        <v>54.000000000000014</v>
      </c>
      <c r="F7" s="23"/>
      <c r="G7" s="22">
        <f>CapEx!F19</f>
        <v>50.000000000000007</v>
      </c>
      <c r="H7" s="24">
        <f t="shared" si="0"/>
        <v>-4.0000000000000071</v>
      </c>
      <c r="I7" s="25">
        <f t="shared" si="1"/>
        <v>-7.4074074074074181E-2</v>
      </c>
      <c r="J7" s="26"/>
      <c r="K7" s="22">
        <f>CapEx!G19</f>
        <v>0</v>
      </c>
      <c r="L7" s="27">
        <f>K7-G7</f>
        <v>-50.000000000000007</v>
      </c>
      <c r="M7" s="26" t="str">
        <f>IFERROR(IF(K7/G7-1=-1,"n/a",K7/G7-1),0)</f>
        <v>n/a</v>
      </c>
      <c r="N7" s="23"/>
      <c r="O7" s="22">
        <f>CapEx!H19</f>
        <v>0</v>
      </c>
      <c r="P7" s="27">
        <f>O7-K7</f>
        <v>0</v>
      </c>
      <c r="Q7" s="26">
        <f>IFERROR(IF(O7/K7-1=-1,"n/a",O7/K7-1),0)</f>
        <v>0</v>
      </c>
      <c r="R7" s="23"/>
      <c r="S7" s="22">
        <f>CapEx!I19</f>
        <v>0</v>
      </c>
      <c r="T7" s="27">
        <f>S7-O7</f>
        <v>0</v>
      </c>
      <c r="U7" s="26">
        <f>IFERROR(IF(S7/O7-1=-1,"n/a",S7/O7-1),0)</f>
        <v>0</v>
      </c>
    </row>
    <row r="8" spans="1:21" s="19" customFormat="1" x14ac:dyDescent="0.25">
      <c r="A8" s="17"/>
      <c r="B8" s="134"/>
      <c r="C8" s="18" t="s">
        <v>18</v>
      </c>
      <c r="H8" s="28"/>
      <c r="I8" s="28"/>
      <c r="J8" s="20"/>
      <c r="L8" s="20"/>
      <c r="M8" s="20"/>
      <c r="P8" s="20"/>
      <c r="Q8" s="20"/>
      <c r="T8" s="20"/>
      <c r="U8" s="20"/>
    </row>
    <row r="9" spans="1:21" s="19" customFormat="1" x14ac:dyDescent="0.25">
      <c r="A9" s="17"/>
      <c r="B9" s="49"/>
      <c r="C9" s="21" t="s">
        <v>19</v>
      </c>
      <c r="E9" s="22">
        <f>SUM(Income!$K6:$V6)</f>
        <v>5788.4603088640351</v>
      </c>
      <c r="F9" s="23"/>
      <c r="G9" s="22">
        <f>SUM(Income!$W6:$AH6)</f>
        <v>6096.2593887798221</v>
      </c>
      <c r="H9" s="24">
        <f t="shared" ref="H9:H12" si="2">G9-E9</f>
        <v>307.79907991578693</v>
      </c>
      <c r="I9" s="25">
        <f t="shared" ref="I9:I12" si="3">IFERROR(IF(G9/E9-1=-1,"n/a",G9/E9-1),0)</f>
        <v>5.317460317460343E-2</v>
      </c>
      <c r="J9" s="26"/>
      <c r="K9" s="22">
        <f>SUM(Income!$AI6:$AT6)</f>
        <v>6420.4255626276372</v>
      </c>
      <c r="L9" s="27">
        <f t="shared" ref="L9:L12" si="4">K9-G9</f>
        <v>324.16617384781512</v>
      </c>
      <c r="M9" s="26">
        <f t="shared" ref="M9:M12" si="5">IFERROR(IF(K9/G9-1=-1,"n/a",K9/G9-1),0)</f>
        <v>5.3174603174602986E-2</v>
      </c>
      <c r="N9" s="23"/>
      <c r="O9" s="22">
        <f>SUM(Income!$AU6:$BF6)</f>
        <v>6761.8291441324391</v>
      </c>
      <c r="P9" s="27">
        <f>O9-K9</f>
        <v>341.40358150480188</v>
      </c>
      <c r="Q9" s="26">
        <f>IFERROR(IF(O9/K9-1=-1,"n/a",O9/K9-1),0)</f>
        <v>5.3174603174602986E-2</v>
      </c>
      <c r="R9" s="23"/>
      <c r="S9" s="22">
        <f>SUM(Income!$BG6:$BR6)</f>
        <v>7121.3867256061494</v>
      </c>
      <c r="T9" s="27">
        <f>S9-O9</f>
        <v>359.55758147371034</v>
      </c>
      <c r="U9" s="26">
        <f>IFERROR(IF(S9/O9-1=-1,"n/a",S9/O9-1),0)</f>
        <v>5.317460317460343E-2</v>
      </c>
    </row>
    <row r="10" spans="1:21" s="19" customFormat="1" x14ac:dyDescent="0.25">
      <c r="A10" s="17"/>
      <c r="B10" s="34"/>
      <c r="C10" s="21" t="s">
        <v>21</v>
      </c>
      <c r="E10" s="22">
        <f>SUM(Income!$K7:$V7)</f>
        <v>4298.5360241267026</v>
      </c>
      <c r="F10" s="23"/>
      <c r="G10" s="22">
        <f>SUM(Income!$W7:$AH7)</f>
        <v>4527.1089714413774</v>
      </c>
      <c r="H10" s="24">
        <f t="shared" si="2"/>
        <v>228.57294731467482</v>
      </c>
      <c r="I10" s="25">
        <f t="shared" si="3"/>
        <v>5.317460317460343E-2</v>
      </c>
      <c r="J10" s="26"/>
      <c r="K10" s="22">
        <f>SUM(Income!$AI7:$AT7)</f>
        <v>4767.8361945259576</v>
      </c>
      <c r="L10" s="27">
        <f t="shared" si="4"/>
        <v>240.72722308458015</v>
      </c>
      <c r="M10" s="26">
        <f t="shared" si="5"/>
        <v>5.3174603174602986E-2</v>
      </c>
      <c r="N10" s="23"/>
      <c r="O10" s="22">
        <f>SUM(Income!$AU7:$BF7)</f>
        <v>5021.3639921713875</v>
      </c>
      <c r="P10" s="27">
        <f>O10-K10</f>
        <v>253.52779764542993</v>
      </c>
      <c r="Q10" s="26">
        <f>IFERROR(IF(O10/K10-1=-1,"n/a",O10/K10-1),0)</f>
        <v>5.3174603174603652E-2</v>
      </c>
      <c r="R10" s="23"/>
      <c r="S10" s="22">
        <f>SUM(Income!$BG7:$BR7)</f>
        <v>5288.3730298503406</v>
      </c>
      <c r="T10" s="27">
        <f>S10-O10</f>
        <v>267.00903767895306</v>
      </c>
      <c r="U10" s="26">
        <f>IFERROR(IF(S10/O10-1=-1,"n/a",S10/O10-1),0)</f>
        <v>5.3174603174602764E-2</v>
      </c>
    </row>
    <row r="11" spans="1:21" s="19" customFormat="1" x14ac:dyDescent="0.25">
      <c r="A11" s="17"/>
      <c r="B11" s="5"/>
      <c r="C11" s="21" t="s">
        <v>22</v>
      </c>
      <c r="E11" s="22">
        <f>SUM(Income!$K10:$V10)</f>
        <v>379.31814518162457</v>
      </c>
      <c r="F11" s="23"/>
      <c r="G11" s="22">
        <f>SUM(Income!$W10:$AH10)</f>
        <v>384.41932023751531</v>
      </c>
      <c r="H11" s="24">
        <f t="shared" si="2"/>
        <v>5.1011750558907352</v>
      </c>
      <c r="I11" s="25">
        <f t="shared" si="3"/>
        <v>1.344827586206887E-2</v>
      </c>
      <c r="J11" s="26"/>
      <c r="K11" s="22">
        <f>SUM(Income!$AI10:$AT10)</f>
        <v>389.58909730277833</v>
      </c>
      <c r="L11" s="27">
        <f t="shared" si="4"/>
        <v>5.1697770652630197</v>
      </c>
      <c r="M11" s="26">
        <f t="shared" si="5"/>
        <v>1.3448275862068648E-2</v>
      </c>
      <c r="N11" s="23"/>
      <c r="O11" s="22">
        <f>SUM(Income!$AU10:$BF10)</f>
        <v>394.82839895616053</v>
      </c>
      <c r="P11" s="27">
        <f t="shared" ref="P11:P12" si="6">O11-K11</f>
        <v>5.2393016533821992</v>
      </c>
      <c r="Q11" s="26">
        <f t="shared" ref="Q11:Q12" si="7">IFERROR(IF(O11/K11-1=-1,"n/a",O11/K11-1),0)</f>
        <v>1.3448275862069092E-2</v>
      </c>
      <c r="R11" s="23"/>
      <c r="S11" s="22">
        <f>SUM(Income!$BG10:$BR10)</f>
        <v>400.1381601835019</v>
      </c>
      <c r="T11" s="27">
        <f t="shared" ref="T11:T12" si="8">S11-O11</f>
        <v>5.3097612273413688</v>
      </c>
      <c r="U11" s="26">
        <f t="shared" ref="U11:U12" si="9">IFERROR(IF(S11/O11-1=-1,"n/a",S11/O11-1),0)</f>
        <v>1.3448275862068648E-2</v>
      </c>
    </row>
    <row r="12" spans="1:21" s="19" customFormat="1" x14ac:dyDescent="0.25">
      <c r="A12" s="17"/>
      <c r="B12" s="5"/>
      <c r="C12" s="21" t="s">
        <v>23</v>
      </c>
      <c r="E12" s="22">
        <f>SUM(Income!$K11:$V11)</f>
        <v>496.79223139193084</v>
      </c>
      <c r="F12" s="23"/>
      <c r="G12" s="22">
        <f>SUM(Income!$W11:$AH11)</f>
        <v>511.8987706730324</v>
      </c>
      <c r="H12" s="24">
        <f t="shared" si="2"/>
        <v>15.106539281101561</v>
      </c>
      <c r="I12" s="25">
        <f t="shared" si="3"/>
        <v>3.0408163265306154E-2</v>
      </c>
      <c r="J12" s="26"/>
      <c r="K12" s="22">
        <f>SUM(Income!$AI11:$AT11)</f>
        <v>527.46467206696741</v>
      </c>
      <c r="L12" s="27">
        <f t="shared" si="4"/>
        <v>15.565901393935007</v>
      </c>
      <c r="M12" s="26">
        <f t="shared" si="5"/>
        <v>3.0408163265305932E-2</v>
      </c>
      <c r="N12" s="23"/>
      <c r="O12" s="22">
        <f>SUM(Income!$AU11:$BF11)</f>
        <v>543.50390393186103</v>
      </c>
      <c r="P12" s="27">
        <f t="shared" si="6"/>
        <v>16.039231864893623</v>
      </c>
      <c r="Q12" s="26">
        <f t="shared" si="7"/>
        <v>3.0408163265306376E-2</v>
      </c>
      <c r="R12" s="23"/>
      <c r="S12" s="22">
        <f>SUM(Income!$BG11:$BR11)</f>
        <v>560.0308593779522</v>
      </c>
      <c r="T12" s="27">
        <f t="shared" si="8"/>
        <v>16.526955446091165</v>
      </c>
      <c r="U12" s="26">
        <f t="shared" si="9"/>
        <v>3.0408163265305932E-2</v>
      </c>
    </row>
    <row r="13" spans="1:21" s="19" customFormat="1" x14ac:dyDescent="0.25">
      <c r="A13" s="17"/>
      <c r="B13" s="5"/>
      <c r="C13" s="21" t="s">
        <v>25</v>
      </c>
      <c r="E13" s="22">
        <f>SUM(Income!$K21:$V21)</f>
        <v>13.679166666666664</v>
      </c>
      <c r="F13" s="23"/>
      <c r="G13" s="22">
        <f>SUM(Income!$W21:$AH21)</f>
        <v>18.724999999999998</v>
      </c>
      <c r="H13" s="24">
        <f>G13-E13</f>
        <v>5.0458333333333343</v>
      </c>
      <c r="I13" s="25">
        <f>IFERROR(IF(G13/E13-1=-1,"n/a",G13/E13-1),0)</f>
        <v>0.36886993603411522</v>
      </c>
      <c r="J13" s="26"/>
      <c r="K13" s="22">
        <f>SUM(Income!$AI21:$AT21)</f>
        <v>18.724999999999998</v>
      </c>
      <c r="L13" s="27">
        <f>K13-G13</f>
        <v>0</v>
      </c>
      <c r="M13" s="26">
        <f>IFERROR(IF(K13/G13-1=-1,"n/a",K13/G13-1),0)</f>
        <v>0</v>
      </c>
      <c r="N13" s="23"/>
      <c r="O13" s="22">
        <f>SUM(Income!$AU21:$BF21)</f>
        <v>18.724999999999998</v>
      </c>
      <c r="P13" s="27">
        <f>O13-K13</f>
        <v>0</v>
      </c>
      <c r="Q13" s="26">
        <f>IFERROR(IF(O13/K13-1=-1,"n/a",O13/K13-1),0)</f>
        <v>0</v>
      </c>
      <c r="R13" s="23"/>
      <c r="S13" s="22">
        <f>SUM(Income!$BG21:$BR21)</f>
        <v>18.724999999999998</v>
      </c>
      <c r="T13" s="27">
        <f>S13-O13</f>
        <v>0</v>
      </c>
      <c r="U13" s="26">
        <f>IFERROR(IF(S13/O13-1=-1,"n/a",S13/O13-1),0)</f>
        <v>0</v>
      </c>
    </row>
    <row r="14" spans="1:21" s="19" customFormat="1" x14ac:dyDescent="0.25">
      <c r="A14" s="17"/>
      <c r="B14" s="188"/>
      <c r="C14" s="21" t="s">
        <v>27</v>
      </c>
      <c r="E14" s="22">
        <f>SUM(Income!$K23:$V23)</f>
        <v>327.68084489826578</v>
      </c>
      <c r="F14" s="23"/>
      <c r="G14" s="22">
        <f>SUM(Income!$W23:$AH23)</f>
        <v>362.46439585673778</v>
      </c>
      <c r="H14" s="24">
        <f>G14-E14</f>
        <v>34.783550958472006</v>
      </c>
      <c r="I14" s="25">
        <f>IFERROR(IF(G14/E14-1=-1,"n/a",G14/E14-1),0)</f>
        <v>0.10615069968240332</v>
      </c>
      <c r="J14" s="26"/>
      <c r="K14" s="22">
        <f>SUM(Income!$AI23:$AT23)</f>
        <v>430.08635923915972</v>
      </c>
      <c r="L14" s="27">
        <f>K14-G14</f>
        <v>67.621963382421939</v>
      </c>
      <c r="M14" s="26">
        <f>IFERROR(IF(K14/G14-1=-1,"n/a",K14/G14-1),0)</f>
        <v>0.18656167103692356</v>
      </c>
      <c r="N14" s="23"/>
      <c r="O14" s="22">
        <f>SUM(Income!$AU23:$BF23)</f>
        <v>470.04470944381927</v>
      </c>
      <c r="P14" s="27">
        <f>O14-K14</f>
        <v>39.958350204659553</v>
      </c>
      <c r="Q14" s="26">
        <f>IFERROR(IF(O14/K14-1=-1,"n/a",O14/K14-1),0)</f>
        <v>9.290773665862706E-2</v>
      </c>
      <c r="R14" s="23"/>
      <c r="S14" s="22">
        <f>SUM(Income!$BG23:$BR23)</f>
        <v>512.47180571661238</v>
      </c>
      <c r="T14" s="27">
        <f>S14-O14</f>
        <v>42.427096272793108</v>
      </c>
      <c r="U14" s="26">
        <f>IFERROR(IF(S14/O14-1=-1,"n/a",S14/O14-1),0)</f>
        <v>9.0261831311738483E-2</v>
      </c>
    </row>
    <row r="15" spans="1:21" s="19" customFormat="1" x14ac:dyDescent="0.25">
      <c r="A15" s="17"/>
      <c r="B15" s="75"/>
      <c r="C15" s="18" t="s">
        <v>28</v>
      </c>
      <c r="H15" s="28"/>
      <c r="I15" s="28"/>
      <c r="J15" s="20"/>
      <c r="L15" s="20"/>
      <c r="M15" s="20"/>
      <c r="P15" s="20"/>
      <c r="Q15" s="20"/>
      <c r="T15" s="20"/>
      <c r="U15" s="20"/>
    </row>
    <row r="16" spans="1:21" s="19" customFormat="1" x14ac:dyDescent="0.25">
      <c r="A16" s="17"/>
      <c r="B16" s="134"/>
      <c r="C16" s="21" t="s">
        <v>29</v>
      </c>
      <c r="E16" s="22">
        <f ca="1">Balance!$V19</f>
        <v>775.83268335215314</v>
      </c>
      <c r="F16" s="23"/>
      <c r="G16" s="22">
        <f ca="1">Balance!$AH19</f>
        <v>1244.6345300065523</v>
      </c>
      <c r="H16" s="24">
        <f ca="1">G16-E16</f>
        <v>468.80184665439913</v>
      </c>
      <c r="I16" s="25">
        <f ca="1">IFERROR(IF(G16/E16-1=-1,"n/a",G16/E16-1),0)</f>
        <v>0.60425637732718251</v>
      </c>
      <c r="J16" s="26"/>
      <c r="K16" s="22">
        <f ca="1">Balance!$AT19</f>
        <v>1688.0715365993938</v>
      </c>
      <c r="L16" s="27">
        <f ca="1">K16-G16</f>
        <v>443.4370065928415</v>
      </c>
      <c r="M16" s="26">
        <f ca="1">IFERROR(IF(K16/G16-1=-1,"n/a",K16/G16-1),0)</f>
        <v>0.35627888822151443</v>
      </c>
      <c r="N16" s="23"/>
      <c r="O16" s="22">
        <f ca="1">Balance!$BF19</f>
        <v>2172.2109850642064</v>
      </c>
      <c r="P16" s="27">
        <f ca="1">O16-K16</f>
        <v>484.13944846481263</v>
      </c>
      <c r="Q16" s="26">
        <f ca="1">IFERROR(IF(O16/K16-1=-1,"n/a",O16/K16-1),0)</f>
        <v>0.28680031501514902</v>
      </c>
      <c r="R16" s="23"/>
      <c r="S16" s="22">
        <f ca="1">Balance!$BR19</f>
        <v>2699.5638776765886</v>
      </c>
      <c r="T16" s="27">
        <f ca="1">S16-O16</f>
        <v>527.35289261238222</v>
      </c>
      <c r="U16" s="26">
        <f ca="1">IFERROR(IF(S16/O16-1=-1,"n/a",S16/O16-1),0)</f>
        <v>0.24277240849916559</v>
      </c>
    </row>
    <row r="17" spans="1:21" s="19" customFormat="1" x14ac:dyDescent="0.25">
      <c r="A17" s="17"/>
      <c r="B17" s="5"/>
      <c r="C17" s="21" t="s">
        <v>31</v>
      </c>
      <c r="E17" s="22">
        <f>Balance!$V25</f>
        <v>410.18464229483413</v>
      </c>
      <c r="F17" s="23"/>
      <c r="G17" s="22">
        <f>Balance!$AH25</f>
        <v>472.83113315486884</v>
      </c>
      <c r="H17" s="24">
        <f>G17-E17</f>
        <v>62.646490860034703</v>
      </c>
      <c r="I17" s="25">
        <f>IFERROR(IF(G17/E17-1=-1,"n/a",G17/E17-1),0)</f>
        <v>0.15272753877266187</v>
      </c>
      <c r="J17" s="26"/>
      <c r="K17" s="22">
        <f>Balance!$AT25</f>
        <v>486.18178050855022</v>
      </c>
      <c r="L17" s="27">
        <f>K17-G17</f>
        <v>13.350647353681381</v>
      </c>
      <c r="M17" s="26">
        <f>IFERROR(IF(K17/G17-1=-1,"n/a",K17/G17-1),0)</f>
        <v>2.8235550532812681E-2</v>
      </c>
      <c r="N17" s="23"/>
      <c r="O17" s="22">
        <f>Balance!$BF25</f>
        <v>500.27651952954375</v>
      </c>
      <c r="P17" s="27">
        <f>O17-K17</f>
        <v>14.094739020993529</v>
      </c>
      <c r="Q17" s="26">
        <f>IFERROR(IF(O17/K17-1=-1,"n/a",O17/K17-1),0)</f>
        <v>2.8990677121323527E-2</v>
      </c>
      <c r="R17" s="23"/>
      <c r="S17" s="22">
        <f>Balance!$BR25</f>
        <v>515.15760642531404</v>
      </c>
      <c r="T17" s="27">
        <f>S17-O17</f>
        <v>14.881086895770295</v>
      </c>
      <c r="U17" s="26">
        <f>IFERROR(IF(S17/O17-1=-1,"n/a",S17/O17-1),0)</f>
        <v>2.9745723244745337E-2</v>
      </c>
    </row>
    <row r="18" spans="1:21" s="19" customFormat="1" x14ac:dyDescent="0.25">
      <c r="A18" s="17"/>
      <c r="B18" s="5"/>
      <c r="C18" s="21" t="s">
        <v>32</v>
      </c>
      <c r="E18" s="22">
        <f ca="1">Balance!$V28</f>
        <v>365.6480410573194</v>
      </c>
      <c r="F18" s="23"/>
      <c r="G18" s="22">
        <f ca="1">Balance!$AH28</f>
        <v>771.8033968516836</v>
      </c>
      <c r="H18" s="24">
        <f ca="1">G18-E18</f>
        <v>406.1553557943642</v>
      </c>
      <c r="I18" s="25">
        <f ca="1">IFERROR(IF(G18/E18-1=-1,"n/a",G18/E18-1),0)</f>
        <v>1.1107822555808382</v>
      </c>
      <c r="J18" s="26"/>
      <c r="K18" s="22">
        <f ca="1">Balance!$AT28</f>
        <v>1201.8897560908433</v>
      </c>
      <c r="L18" s="27">
        <f ca="1">K18-G18</f>
        <v>430.08635923915972</v>
      </c>
      <c r="M18" s="26">
        <f ca="1">IFERROR(IF(K18/G18-1=-1,"n/a",K18/G18-1),0)</f>
        <v>0.55724859594237941</v>
      </c>
      <c r="N18" s="23"/>
      <c r="O18" s="22">
        <f ca="1">Balance!$BF28</f>
        <v>1671.9344655346626</v>
      </c>
      <c r="P18" s="27">
        <f ca="1">O18-K18</f>
        <v>470.04470944381933</v>
      </c>
      <c r="Q18" s="26">
        <f ca="1">IFERROR(IF(O18/K18-1=-1,"n/a",O18/K18-1),0)</f>
        <v>0.39108804036457023</v>
      </c>
      <c r="R18" s="23"/>
      <c r="S18" s="22">
        <f ca="1">Balance!$BR28</f>
        <v>2184.406271251275</v>
      </c>
      <c r="T18" s="27">
        <f ca="1">S18-O18</f>
        <v>512.47180571661238</v>
      </c>
      <c r="U18" s="26">
        <f ca="1">IFERROR(IF(S18/O18-1=-1,"n/a",S18/O18-1),0)</f>
        <v>0.30651429005187159</v>
      </c>
    </row>
    <row r="19" spans="1:21" s="19" customFormat="1" x14ac:dyDescent="0.25">
      <c r="A19" s="17"/>
      <c r="B19" s="5"/>
      <c r="C19" s="18" t="s">
        <v>33</v>
      </c>
      <c r="H19" s="28"/>
      <c r="I19" s="28"/>
      <c r="J19" s="20"/>
      <c r="L19" s="20"/>
      <c r="M19" s="20"/>
      <c r="P19" s="20"/>
      <c r="Q19" s="20"/>
      <c r="T19" s="20"/>
      <c r="U19" s="20"/>
    </row>
    <row r="20" spans="1:21" s="19" customFormat="1" x14ac:dyDescent="0.25">
      <c r="A20" s="17"/>
      <c r="B20" s="182"/>
      <c r="C20" s="21" t="s">
        <v>34</v>
      </c>
      <c r="E20" s="22">
        <f>Cash!E37</f>
        <v>203.29618175841702</v>
      </c>
      <c r="F20" s="23"/>
      <c r="G20" s="22">
        <f>Cash!F37</f>
        <v>396.47161730797035</v>
      </c>
      <c r="H20" s="24">
        <f>G20-E20</f>
        <v>193.17543554955333</v>
      </c>
      <c r="I20" s="25">
        <f>IFERROR(IF(G20/E20-1=-1,"n/a",G20/E20-1),0)</f>
        <v>0.95021674228544795</v>
      </c>
      <c r="J20" s="26"/>
      <c r="K20" s="22">
        <f>Cash!G37</f>
        <v>412.47033531550346</v>
      </c>
      <c r="L20" s="27">
        <f>K20-G20</f>
        <v>15.998718007533114</v>
      </c>
      <c r="M20" s="26">
        <f>IFERROR(IF(K20/G20-1=-1,"n/a",K20/G20-1),0)</f>
        <v>4.0352744834961651E-2</v>
      </c>
      <c r="N20" s="23"/>
      <c r="O20" s="22">
        <f>Cash!H37</f>
        <v>450.62799860490048</v>
      </c>
      <c r="P20" s="27">
        <f>O20-K20</f>
        <v>38.157663289397021</v>
      </c>
      <c r="Q20" s="26">
        <f>IFERROR(IF(O20/K20-1=-1,"n/a",O20/K20-1),0)</f>
        <v>9.2510078961702158E-2</v>
      </c>
      <c r="R20" s="23"/>
      <c r="S20" s="22">
        <f>Cash!I37</f>
        <v>491.05683466431418</v>
      </c>
      <c r="T20" s="27">
        <f>S20-O20</f>
        <v>40.428836059413698</v>
      </c>
      <c r="U20" s="26">
        <f>IFERROR(IF(S20/O20-1=-1,"n/a",S20/O20-1),0)</f>
        <v>8.9716653613573394E-2</v>
      </c>
    </row>
    <row r="21" spans="1:21" s="19" customFormat="1" x14ac:dyDescent="0.25">
      <c r="A21" s="17"/>
      <c r="B21" s="134"/>
      <c r="C21" s="21" t="s">
        <v>35</v>
      </c>
      <c r="E21" s="22">
        <f>Cash!E38</f>
        <v>-154</v>
      </c>
      <c r="F21" s="23"/>
      <c r="G21" s="22">
        <f>Cash!F38</f>
        <v>0</v>
      </c>
      <c r="H21" s="24">
        <f>G21-E21</f>
        <v>154</v>
      </c>
      <c r="I21" s="25" t="str">
        <f>IFERROR(IF(G21/E21-1=-1,"n/a",G21/E21-1),0)</f>
        <v>n/a</v>
      </c>
      <c r="J21" s="26"/>
      <c r="K21" s="22">
        <f>Cash!G38</f>
        <v>0</v>
      </c>
      <c r="L21" s="27">
        <f>K21-G21</f>
        <v>0</v>
      </c>
      <c r="M21" s="26">
        <f>IFERROR(IF(K21/G21-1=-1,"n/a",K21/G21-1),0)</f>
        <v>0</v>
      </c>
      <c r="N21" s="23"/>
      <c r="O21" s="22">
        <f>Cash!H38</f>
        <v>0</v>
      </c>
      <c r="P21" s="27">
        <f>O21-K21</f>
        <v>0</v>
      </c>
      <c r="Q21" s="26">
        <f>IFERROR(IF(O21/K21-1=-1,"n/a",O21/K21-1),0)</f>
        <v>0</v>
      </c>
      <c r="R21" s="23"/>
      <c r="S21" s="22">
        <f>Cash!I38</f>
        <v>0</v>
      </c>
      <c r="T21" s="27">
        <f>S21-O21</f>
        <v>0</v>
      </c>
      <c r="U21" s="26">
        <f>IFERROR(IF(S21/O21-1=-1,"n/a",S21/O21-1),0)</f>
        <v>0</v>
      </c>
    </row>
    <row r="22" spans="1:21" s="19" customFormat="1" x14ac:dyDescent="0.25">
      <c r="A22" s="17"/>
      <c r="B22" s="134"/>
      <c r="C22" s="21" t="s">
        <v>36</v>
      </c>
      <c r="E22" s="22">
        <f ca="1">Cash!E39</f>
        <v>28</v>
      </c>
      <c r="F22" s="23"/>
      <c r="G22" s="22">
        <f ca="1">Cash!F39</f>
        <v>94</v>
      </c>
      <c r="H22" s="24">
        <f ca="1">G22-E22</f>
        <v>66</v>
      </c>
      <c r="I22" s="25">
        <f ca="1">IFERROR(IF(G22/E22-1=-1,"n/a",G22/E22-1),0)</f>
        <v>2.3571428571428572</v>
      </c>
      <c r="J22" s="26"/>
      <c r="K22" s="22">
        <f ca="1">Cash!G39</f>
        <v>0</v>
      </c>
      <c r="L22" s="27">
        <f ca="1">K22-G22</f>
        <v>-94</v>
      </c>
      <c r="M22" s="26" t="str">
        <f ca="1">IFERROR(IF(K22/G22-1=-1,"n/a",K22/G22-1),0)</f>
        <v>n/a</v>
      </c>
      <c r="N22" s="23"/>
      <c r="O22" s="22">
        <f ca="1">Cash!H39</f>
        <v>0</v>
      </c>
      <c r="P22" s="27">
        <f ca="1">O22-K22</f>
        <v>0</v>
      </c>
      <c r="Q22" s="26">
        <f ca="1">IFERROR(IF(O22/K22-1=-1,"n/a",O22/K22-1),0)</f>
        <v>0</v>
      </c>
      <c r="R22" s="23"/>
      <c r="S22" s="22">
        <f ca="1">Cash!I39</f>
        <v>0</v>
      </c>
      <c r="T22" s="27">
        <f ca="1">S22-O22</f>
        <v>0</v>
      </c>
      <c r="U22" s="26">
        <f ca="1">IFERROR(IF(S22/O22-1=-1,"n/a",S22/O22-1),0)</f>
        <v>0</v>
      </c>
    </row>
    <row r="23" spans="1:21" s="19" customFormat="1" x14ac:dyDescent="0.25">
      <c r="A23" s="17"/>
      <c r="B23" s="5"/>
      <c r="C23" s="18" t="s">
        <v>37</v>
      </c>
      <c r="H23" s="20"/>
      <c r="I23" s="20"/>
      <c r="J23" s="20"/>
      <c r="L23" s="20"/>
      <c r="M23" s="20"/>
      <c r="P23" s="20"/>
      <c r="Q23" s="20"/>
      <c r="T23" s="20"/>
      <c r="U23" s="20"/>
    </row>
    <row r="24" spans="1:21" s="19" customFormat="1" x14ac:dyDescent="0.25">
      <c r="A24" s="5"/>
      <c r="B24" s="134"/>
      <c r="C24" s="391" t="s">
        <v>38</v>
      </c>
      <c r="D24" s="29"/>
      <c r="E24" s="30" t="s">
        <v>39</v>
      </c>
      <c r="F24" s="31"/>
      <c r="G24" s="32">
        <f ca="1">Valuation!$H$24</f>
        <v>5927.0810043296169</v>
      </c>
      <c r="H24" s="33"/>
      <c r="I24" s="33"/>
      <c r="J24" s="33"/>
      <c r="K24" s="34"/>
      <c r="L24" s="33"/>
      <c r="M24" s="34"/>
      <c r="N24" s="34"/>
      <c r="O24" s="34"/>
      <c r="P24" s="34"/>
      <c r="Q24" s="33"/>
      <c r="R24" s="34"/>
      <c r="S24" s="34"/>
      <c r="T24" s="33"/>
      <c r="U24" s="33"/>
    </row>
    <row r="25" spans="1:21" x14ac:dyDescent="0.25">
      <c r="C25" s="391"/>
      <c r="E25" s="30" t="s">
        <v>32</v>
      </c>
      <c r="F25" s="31"/>
      <c r="G25" s="32">
        <f ca="1">Valuation!$H$27</f>
        <v>6454.5069594926845</v>
      </c>
      <c r="L25" s="34"/>
      <c r="M25" s="34"/>
      <c r="N25" s="34"/>
      <c r="P25" s="34"/>
      <c r="R25" s="34"/>
    </row>
    <row r="26" spans="1:21" ht="6" customHeight="1" x14ac:dyDescent="0.25">
      <c r="A26" s="35"/>
      <c r="B26" s="5"/>
      <c r="C26" s="35"/>
      <c r="D26" s="35"/>
      <c r="E26" s="35"/>
      <c r="L26" s="34"/>
      <c r="M26" s="34"/>
      <c r="N26" s="34"/>
      <c r="P26" s="34"/>
      <c r="R26" s="34"/>
    </row>
    <row r="27" spans="1:21" x14ac:dyDescent="0.25">
      <c r="B27" s="5"/>
      <c r="C27" s="391" t="s">
        <v>40</v>
      </c>
      <c r="E27" s="32" t="s">
        <v>41</v>
      </c>
      <c r="F27" s="31"/>
      <c r="G27" s="32">
        <f>Valuation!$N$24</f>
        <v>3364.1616321394813</v>
      </c>
      <c r="L27" s="34"/>
      <c r="M27" s="34"/>
      <c r="N27" s="34"/>
      <c r="P27" s="34"/>
      <c r="R27" s="34"/>
    </row>
    <row r="28" spans="1:21" x14ac:dyDescent="0.25">
      <c r="B28" s="5"/>
      <c r="C28" s="391"/>
      <c r="D28" s="34"/>
      <c r="E28" s="32" t="s">
        <v>42</v>
      </c>
      <c r="F28" s="31"/>
      <c r="G28" s="32">
        <f>Valuation!$N$27</f>
        <v>2899.7151668539022</v>
      </c>
    </row>
  </sheetData>
  <sheetProtection algorithmName="SHA-512" hashValue="rWCNJmhBTXgSNISa5FNV15+J0Fd9GR6JIXsS51BP5wg8dyKssFUYsGpTV+NPRRQf9ZKDo5XSpOED9lA0hEHBXA==" saltValue="VaGxl/j2Xe3ML/whgUvObA==" spinCount="100000" sheet="1" objects="1" scenarios="1" selectLockedCells="1" selectUnlockedCells="1"/>
  <mergeCells count="15">
    <mergeCell ref="C27:C28"/>
    <mergeCell ref="E3:E5"/>
    <mergeCell ref="G3:G5"/>
    <mergeCell ref="H3:H5"/>
    <mergeCell ref="I3:I5"/>
    <mergeCell ref="Q3:Q5"/>
    <mergeCell ref="S3:S5"/>
    <mergeCell ref="T3:T5"/>
    <mergeCell ref="U3:U5"/>
    <mergeCell ref="C24:C25"/>
    <mergeCell ref="K3:K5"/>
    <mergeCell ref="L3:L5"/>
    <mergeCell ref="M3:M5"/>
    <mergeCell ref="O3:O5"/>
    <mergeCell ref="P3:P5"/>
  </mergeCells>
  <printOptions horizontalCentered="1"/>
  <pageMargins left="0.5" right="0.5" top="0.75" bottom="0.5" header="0.3" footer="0.3"/>
  <pageSetup scale="21" orientation="landscape" r:id="rId1"/>
  <headerFooter scaleWithDoc="0" alignWithMargins="0">
    <oddFooter>&amp;L&amp;10 5-year Summary&amp;R&amp;10Updated &amp;D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38</vt:i4>
      </vt:variant>
    </vt:vector>
  </HeadingPairs>
  <TitlesOfParts>
    <vt:vector size="46" baseType="lpstr">
      <vt:lpstr>ℹ️ </vt:lpstr>
      <vt:lpstr>Drivers</vt:lpstr>
      <vt:lpstr>CapEx</vt:lpstr>
      <vt:lpstr>Income</vt:lpstr>
      <vt:lpstr>Balance</vt:lpstr>
      <vt:lpstr>Cash</vt:lpstr>
      <vt:lpstr>Valuation</vt:lpstr>
      <vt:lpstr>Summary</vt:lpstr>
      <vt:lpstr>CapexAmount</vt:lpstr>
      <vt:lpstr>CapexCategory</vt:lpstr>
      <vt:lpstr>CapexMonth</vt:lpstr>
      <vt:lpstr>CapitalDividends</vt:lpstr>
      <vt:lpstr>CapitalEquity</vt:lpstr>
      <vt:lpstr>CapitalLong</vt:lpstr>
      <vt:lpstr>CapitalMonth</vt:lpstr>
      <vt:lpstr>CapitalShort</vt:lpstr>
      <vt:lpstr>COGS</vt:lpstr>
      <vt:lpstr>DeprecExp</vt:lpstr>
      <vt:lpstr>DeprecMonths</vt:lpstr>
      <vt:lpstr>DeprecStop</vt:lpstr>
      <vt:lpstr>InventoryPct</vt:lpstr>
      <vt:lpstr>OtherCA</vt:lpstr>
      <vt:lpstr>OtherCAcagr</vt:lpstr>
      <vt:lpstr>OtherCL</vt:lpstr>
      <vt:lpstr>OtherCLcagr</vt:lpstr>
      <vt:lpstr>Overhead</vt:lpstr>
      <vt:lpstr>OverheadCAGR</vt:lpstr>
      <vt:lpstr>PayCAGR</vt:lpstr>
      <vt:lpstr>PayFTE</vt:lpstr>
      <vt:lpstr>PayLoad</vt:lpstr>
      <vt:lpstr>PaySalary</vt:lpstr>
      <vt:lpstr>Price</vt:lpstr>
      <vt:lpstr>RateEquity</vt:lpstr>
      <vt:lpstr>RateLong</vt:lpstr>
      <vt:lpstr>RateShort</vt:lpstr>
      <vt:lpstr>Taxes</vt:lpstr>
      <vt:lpstr>TermsCollectCash</vt:lpstr>
      <vt:lpstr>TermsCollectCredit</vt:lpstr>
      <vt:lpstr>TermsPayCash</vt:lpstr>
      <vt:lpstr>TermsPayCredit</vt:lpstr>
      <vt:lpstr>Units</vt:lpstr>
      <vt:lpstr>UnitsCAGR</vt:lpstr>
      <vt:lpstr>ValEvEbitda</vt:lpstr>
      <vt:lpstr>ValPE</vt:lpstr>
      <vt:lpstr>ValTerminal</vt:lpstr>
      <vt:lpstr>WACC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2026-09-26T23:27:44Z</dcterms:created>
  <dcterms:modified xsi:type="dcterms:W3CDTF">2026-10-05T00:06:51Z</dcterms:modified>
</cp:coreProperties>
</file>