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harts/chart1.xml" ContentType="application/vnd.openxmlformats-officedocument.drawingml.chart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035EE7FD-65B7-4CBF-AB0B-8FA49B6AC3CE}" xr6:coauthVersionLast="47" xr6:coauthVersionMax="47" xr10:uidLastSave="{00000000-0000-0000-0000-000000000000}"/>
  <bookViews>
    <workbookView xWindow="-108" yWindow="-108" windowWidth="23256" windowHeight="12456" tabRatio="811" xr2:uid="{00000000-000D-0000-FFFF-FFFF00000000}"/>
  </bookViews>
  <sheets>
    <sheet name="ℹ️ " sheetId="103" r:id="rId1"/>
    <sheet name="Financials" sheetId="28" r:id="rId2"/>
    <sheet name="Balance" sheetId="97" r:id="rId3"/>
    <sheet name="ProFormas" sheetId="40" r:id="rId4"/>
    <sheet name="PV" sheetId="87" r:id="rId5"/>
    <sheet name="FV" sheetId="98" r:id="rId6"/>
    <sheet name="IRR" sheetId="92" r:id="rId7"/>
    <sheet name="Annuities" sheetId="91" r:id="rId8"/>
    <sheet name="WACC" sheetId="95" r:id="rId9"/>
    <sheet name="Valuation" sheetId="84" r:id="rId10"/>
    <sheet name="Bonds" sheetId="100" r:id="rId11"/>
  </sheets>
  <definedNames>
    <definedName name="_xlnm.Print_Area" localSheetId="7">Annuities!$A$1</definedName>
    <definedName name="_xlnm.Print_Area" localSheetId="2">Balance!$A$1</definedName>
    <definedName name="_xlnm.Print_Area" localSheetId="10">Bonds!#REF!</definedName>
    <definedName name="_xlnm.Print_Area" localSheetId="1">Financials!$A$1</definedName>
    <definedName name="_xlnm.Print_Area" localSheetId="5">FV!$A$1</definedName>
    <definedName name="_xlnm.Print_Area" localSheetId="6">IRR!$A$1</definedName>
    <definedName name="_xlnm.Print_Area" localSheetId="0">'ℹ️ '!$B$3:$I$23</definedName>
    <definedName name="_xlnm.Print_Area" localSheetId="3">ProFormas!$A$1</definedName>
    <definedName name="_xlnm.Print_Area" localSheetId="4">PV!$A$1</definedName>
    <definedName name="_xlnm.Print_Area" localSheetId="9">Valuation!$A$1</definedName>
    <definedName name="_xlnm.Print_Area" localSheetId="8">WACC!$A$1</definedName>
    <definedName name="_xlnm.Print_Titles" localSheetId="7">Annuities!$2:$3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2" i="91" l="1"/>
  <c r="P13" i="91" s="1"/>
  <c r="M12" i="91"/>
  <c r="H12" i="91"/>
  <c r="E12" i="91" l="1"/>
  <c r="E13" i="40"/>
  <c r="F13" i="40" s="1"/>
  <c r="H24" i="95"/>
  <c r="J14" i="91"/>
  <c r="J15" i="91"/>
  <c r="J16" i="91"/>
  <c r="J17" i="91"/>
  <c r="J18" i="91"/>
  <c r="J19" i="91"/>
  <c r="J13" i="91"/>
  <c r="K13" i="91"/>
  <c r="E19" i="91"/>
  <c r="O12" i="91"/>
  <c r="O13" i="91"/>
  <c r="O14" i="91"/>
  <c r="O15" i="91"/>
  <c r="O16" i="91"/>
  <c r="J12" i="91"/>
  <c r="D23" i="100"/>
  <c r="R22" i="100"/>
  <c r="R23" i="100"/>
  <c r="R24" i="100"/>
  <c r="R25" i="100"/>
  <c r="R26" i="100"/>
  <c r="R27" i="100"/>
  <c r="R28" i="100"/>
  <c r="R29" i="100"/>
  <c r="D29" i="100"/>
  <c r="P21" i="100"/>
  <c r="S21" i="100" s="1"/>
  <c r="V24" i="100"/>
  <c r="V22" i="100"/>
  <c r="V29" i="100"/>
  <c r="V28" i="100"/>
  <c r="V27" i="100"/>
  <c r="V26" i="100"/>
  <c r="V25" i="100"/>
  <c r="V23" i="100"/>
  <c r="R21" i="100"/>
  <c r="D24" i="100"/>
  <c r="D28" i="100" s="1"/>
  <c r="P22" i="100" l="1"/>
  <c r="AA22" i="100" s="1"/>
  <c r="AA21" i="100"/>
  <c r="X22" i="100"/>
  <c r="T21" i="100"/>
  <c r="S22" i="100" l="1"/>
  <c r="T22" i="100" s="1"/>
  <c r="W22" i="100"/>
  <c r="Y22" i="100" s="1"/>
  <c r="P23" i="100"/>
  <c r="X23" i="100"/>
  <c r="X24" i="100" l="1"/>
  <c r="W23" i="100"/>
  <c r="Y23" i="100" s="1"/>
  <c r="AA23" i="100"/>
  <c r="S23" i="100"/>
  <c r="T23" i="100" s="1"/>
  <c r="P24" i="100"/>
  <c r="F10" i="40"/>
  <c r="W24" i="100" l="1"/>
  <c r="Y24" i="100" s="1"/>
  <c r="X25" i="100"/>
  <c r="AA24" i="100"/>
  <c r="P25" i="100"/>
  <c r="S24" i="100"/>
  <c r="T24" i="100" s="1"/>
  <c r="Z13" i="95"/>
  <c r="V13" i="95"/>
  <c r="R13" i="95"/>
  <c r="N13" i="95"/>
  <c r="W25" i="100" l="1"/>
  <c r="Y25" i="100" s="1"/>
  <c r="X26" i="100"/>
  <c r="S25" i="100"/>
  <c r="T25" i="100" s="1"/>
  <c r="AA25" i="100"/>
  <c r="P26" i="100"/>
  <c r="D10" i="40"/>
  <c r="E10" i="40"/>
  <c r="W26" i="100" l="1"/>
  <c r="Y26" i="100" s="1"/>
  <c r="X27" i="100"/>
  <c r="S26" i="100"/>
  <c r="T26" i="100" s="1"/>
  <c r="P27" i="100"/>
  <c r="AA26" i="100"/>
  <c r="W27" i="100" l="1"/>
  <c r="Y27" i="100" s="1"/>
  <c r="X28" i="100"/>
  <c r="S27" i="100"/>
  <c r="T27" i="100" s="1"/>
  <c r="AA27" i="100"/>
  <c r="P28" i="100"/>
  <c r="H22" i="95"/>
  <c r="G11" i="92"/>
  <c r="W28" i="100" l="1"/>
  <c r="Y28" i="100" s="1"/>
  <c r="X29" i="100"/>
  <c r="S28" i="100"/>
  <c r="T28" i="100" s="1"/>
  <c r="AA28" i="100"/>
  <c r="P29" i="100"/>
  <c r="D20" i="95"/>
  <c r="W29" i="100" l="1"/>
  <c r="Y29" i="100" s="1"/>
  <c r="S29" i="100"/>
  <c r="T29" i="100" s="1"/>
  <c r="AA29" i="100"/>
  <c r="E18" i="91"/>
  <c r="E17" i="91"/>
  <c r="E16" i="91"/>
  <c r="E13" i="91"/>
  <c r="N24" i="84"/>
  <c r="H24" i="84" s="1"/>
  <c r="N23" i="84"/>
  <c r="N22" i="84"/>
  <c r="N21" i="84"/>
  <c r="O21" i="84" s="1"/>
  <c r="N16" i="84"/>
  <c r="O19" i="84"/>
  <c r="O20" i="84"/>
  <c r="AE19" i="84"/>
  <c r="AB19" i="84"/>
  <c r="AA19" i="84"/>
  <c r="V16" i="84"/>
  <c r="F16" i="92"/>
  <c r="S19" i="95"/>
  <c r="AC13" i="95" s="1"/>
  <c r="H11" i="92"/>
  <c r="J11" i="92" s="1"/>
  <c r="D13" i="40"/>
  <c r="D15" i="28"/>
  <c r="S22" i="95"/>
  <c r="P13" i="95" s="1"/>
  <c r="H20" i="84" l="1"/>
  <c r="F21" i="92"/>
  <c r="G16" i="92"/>
  <c r="AB20" i="84"/>
  <c r="S20" i="95"/>
  <c r="X13" i="95" s="1"/>
  <c r="G21" i="92" l="1"/>
  <c r="E15" i="91" l="1"/>
  <c r="E14" i="91"/>
  <c r="F13" i="91"/>
  <c r="L11" i="92"/>
  <c r="L21" i="92"/>
  <c r="L16" i="92"/>
  <c r="K11" i="92"/>
  <c r="K12" i="92"/>
  <c r="K13" i="92"/>
  <c r="K14" i="92"/>
  <c r="K15" i="92"/>
  <c r="K16" i="92"/>
  <c r="K17" i="92"/>
  <c r="K18" i="92"/>
  <c r="K19" i="92"/>
  <c r="K20" i="92"/>
  <c r="K21" i="92"/>
  <c r="K22" i="92"/>
  <c r="K23" i="92"/>
  <c r="K24" i="92"/>
  <c r="K25" i="92"/>
  <c r="L25" i="92"/>
  <c r="L24" i="92"/>
  <c r="L23" i="92"/>
  <c r="L22" i="92"/>
  <c r="L17" i="92"/>
  <c r="L18" i="92"/>
  <c r="L19" i="92"/>
  <c r="L20" i="92"/>
  <c r="L15" i="92"/>
  <c r="L12" i="92"/>
  <c r="L13" i="92"/>
  <c r="L14" i="92"/>
  <c r="H16" i="92"/>
  <c r="J16" i="92" s="1"/>
  <c r="M17" i="92" s="1"/>
  <c r="H21" i="92"/>
  <c r="J21" i="92" s="1"/>
  <c r="M24" i="92" l="1"/>
  <c r="M22" i="92"/>
  <c r="M20" i="92"/>
  <c r="M18" i="92"/>
  <c r="M19" i="92"/>
  <c r="M14" i="92"/>
  <c r="M13" i="92"/>
  <c r="M23" i="92"/>
  <c r="M12" i="92"/>
  <c r="M15" i="92"/>
  <c r="M25" i="92"/>
  <c r="M11" i="92" l="1"/>
  <c r="M16" i="92"/>
  <c r="M21" i="92"/>
  <c r="F18" i="40" l="1"/>
  <c r="Q11" i="40" s="1"/>
  <c r="F15" i="40"/>
  <c r="U17" i="40"/>
  <c r="U16" i="40"/>
  <c r="O15" i="84" l="1"/>
  <c r="O17" i="84"/>
  <c r="O18" i="84"/>
  <c r="O22" i="84"/>
  <c r="O23" i="84"/>
  <c r="T9" i="28" l="1"/>
  <c r="D21" i="95" s="1"/>
  <c r="K23" i="40"/>
  <c r="J23" i="40"/>
  <c r="O19" i="28"/>
  <c r="I26" i="28"/>
  <c r="L23" i="40" l="1"/>
  <c r="Q21" i="40" s="1"/>
  <c r="P21" i="40"/>
  <c r="D18" i="28"/>
  <c r="S21" i="95"/>
  <c r="T13" i="95" s="1"/>
  <c r="U18" i="40"/>
  <c r="O17" i="28"/>
  <c r="O15" i="28"/>
  <c r="O16" i="28" s="1"/>
  <c r="O13" i="28"/>
  <c r="O12" i="28"/>
  <c r="O11" i="28"/>
  <c r="J19" i="28"/>
  <c r="J21" i="28" s="1"/>
  <c r="I19" i="28"/>
  <c r="I21" i="28" s="1"/>
  <c r="J13" i="28"/>
  <c r="J14" i="28" s="1"/>
  <c r="E18" i="28"/>
  <c r="E15" i="28"/>
  <c r="E10" i="28"/>
  <c r="K19" i="40"/>
  <c r="I14" i="28"/>
  <c r="AB23" i="84" l="1"/>
  <c r="L19" i="40"/>
  <c r="Q19" i="40" s="1"/>
  <c r="E17" i="40"/>
  <c r="E17" i="28"/>
  <c r="D10" i="28"/>
  <c r="D17" i="28" s="1"/>
  <c r="D19" i="28" l="1"/>
  <c r="D20" i="28" s="1"/>
  <c r="D22" i="40" s="1"/>
  <c r="E19" i="40"/>
  <c r="E19" i="28"/>
  <c r="E21" i="40" s="1"/>
  <c r="D19" i="40"/>
  <c r="E20" i="28" l="1"/>
  <c r="E22" i="40" l="1"/>
  <c r="P10" i="40" s="1"/>
  <c r="J25" i="28"/>
  <c r="AF23" i="84"/>
  <c r="D11" i="40" l="1"/>
  <c r="E11" i="40"/>
  <c r="J11" i="40"/>
  <c r="K11" i="40"/>
  <c r="J12" i="40"/>
  <c r="K12" i="40"/>
  <c r="D14" i="40"/>
  <c r="E14" i="40"/>
  <c r="F14" i="40" s="1"/>
  <c r="D15" i="40"/>
  <c r="E15" i="40"/>
  <c r="D16" i="40"/>
  <c r="E16" i="40"/>
  <c r="J14" i="40"/>
  <c r="K14" i="40"/>
  <c r="J15" i="40"/>
  <c r="D18" i="40"/>
  <c r="E18" i="40"/>
  <c r="P11" i="40" s="1"/>
  <c r="J18" i="40"/>
  <c r="K18" i="40"/>
  <c r="J19" i="40"/>
  <c r="P19" i="40" s="1"/>
  <c r="D23" i="40"/>
  <c r="E23" i="40"/>
  <c r="J21" i="40"/>
  <c r="K21" i="40"/>
  <c r="J24" i="40"/>
  <c r="K24" i="40"/>
  <c r="J25" i="40"/>
  <c r="K15" i="40"/>
  <c r="O21" i="28"/>
  <c r="O9" i="28"/>
  <c r="I27" i="28"/>
  <c r="I8" i="28" s="1"/>
  <c r="J10" i="40" s="1"/>
  <c r="J16" i="40"/>
  <c r="P15" i="40" l="1"/>
  <c r="L24" i="40"/>
  <c r="Q22" i="40" s="1"/>
  <c r="P22" i="40"/>
  <c r="L21" i="40"/>
  <c r="P20" i="40"/>
  <c r="P13" i="40"/>
  <c r="F23" i="40"/>
  <c r="Q23" i="40" s="1"/>
  <c r="P23" i="40"/>
  <c r="L14" i="40"/>
  <c r="Q17" i="40" s="1"/>
  <c r="Q18" i="40" s="1"/>
  <c r="P17" i="40"/>
  <c r="P18" i="40" s="1"/>
  <c r="P14" i="40"/>
  <c r="L15" i="40"/>
  <c r="L11" i="40"/>
  <c r="Q13" i="40" s="1"/>
  <c r="L18" i="40"/>
  <c r="F16" i="40"/>
  <c r="F17" i="40" s="1"/>
  <c r="L12" i="40"/>
  <c r="Q14" i="40" s="1"/>
  <c r="F11" i="40"/>
  <c r="J26" i="40"/>
  <c r="D17" i="40"/>
  <c r="D12" i="40"/>
  <c r="E12" i="40"/>
  <c r="K16" i="40"/>
  <c r="L16" i="40" l="1"/>
  <c r="P16" i="40"/>
  <c r="P24" i="40"/>
  <c r="F20" i="40"/>
  <c r="Q20" i="40"/>
  <c r="Q24" i="40" s="1"/>
  <c r="L20" i="40"/>
  <c r="L22" i="40" s="1"/>
  <c r="Q15" i="40"/>
  <c r="F12" i="40"/>
  <c r="F19" i="40" s="1"/>
  <c r="P25" i="40" l="1"/>
  <c r="F21" i="40"/>
  <c r="F22" i="40" s="1"/>
  <c r="D21" i="40"/>
  <c r="J20" i="40"/>
  <c r="Q10" i="40" l="1"/>
  <c r="Q16" i="40" s="1"/>
  <c r="Q25" i="40" s="1"/>
  <c r="D20" i="40"/>
  <c r="J22" i="40"/>
  <c r="J27" i="40" l="1"/>
  <c r="K20" i="40" l="1"/>
  <c r="O18" i="28"/>
  <c r="O20" i="28"/>
  <c r="O22" i="28" l="1"/>
  <c r="K22" i="40" l="1"/>
  <c r="E20" i="40" l="1"/>
  <c r="J26" i="28" l="1"/>
  <c r="O8" i="28"/>
  <c r="O14" i="28" l="1"/>
  <c r="O23" i="28" s="1"/>
  <c r="J27" i="28"/>
  <c r="K25" i="40"/>
  <c r="L25" i="40" s="1"/>
  <c r="L26" i="40" s="1"/>
  <c r="N14" i="95" l="1"/>
  <c r="Z14" i="95"/>
  <c r="R14" i="95"/>
  <c r="V14" i="95"/>
  <c r="T21" i="95"/>
  <c r="R21" i="95" s="1"/>
  <c r="T20" i="95"/>
  <c r="R20" i="95" s="1"/>
  <c r="T19" i="95"/>
  <c r="R19" i="95" s="1"/>
  <c r="T22" i="95"/>
  <c r="R22" i="95" s="1"/>
  <c r="J8" i="28"/>
  <c r="N24" i="28" s="1"/>
  <c r="K26" i="40"/>
  <c r="AA25" i="95" l="1"/>
  <c r="K10" i="40"/>
  <c r="V17" i="84"/>
  <c r="O24" i="28"/>
  <c r="L27" i="40"/>
  <c r="K27" i="40"/>
  <c r="L10" i="40" l="1"/>
  <c r="D11" i="98"/>
  <c r="D22" i="98"/>
  <c r="D16" i="98"/>
  <c r="U12" i="91"/>
  <c r="D11" i="87"/>
  <c r="M11" i="87" s="1"/>
  <c r="D16" i="87"/>
  <c r="O21" i="87"/>
  <c r="O11" i="87"/>
  <c r="U11" i="87" s="1"/>
  <c r="E15" i="84"/>
  <c r="D21" i="87"/>
  <c r="O16" i="87"/>
  <c r="J11" i="28"/>
  <c r="J15" i="28" s="1"/>
  <c r="L13" i="91" l="1"/>
  <c r="M13" i="91" s="1"/>
  <c r="E28" i="91"/>
  <c r="J28" i="91"/>
  <c r="R31" i="91"/>
  <c r="M31" i="91"/>
  <c r="M28" i="91"/>
  <c r="H28" i="91"/>
  <c r="H31" i="91"/>
  <c r="Q13" i="91"/>
  <c r="R13" i="91" s="1"/>
  <c r="P14" i="91" s="1"/>
  <c r="M17" i="98"/>
  <c r="J17" i="98"/>
  <c r="J20" i="98"/>
  <c r="J16" i="98"/>
  <c r="J19" i="98"/>
  <c r="J18" i="98"/>
  <c r="M19" i="98"/>
  <c r="Q16" i="98"/>
  <c r="M18" i="98"/>
  <c r="M20" i="98"/>
  <c r="O16" i="98"/>
  <c r="M16" i="98"/>
  <c r="M26" i="98"/>
  <c r="J25" i="98"/>
  <c r="M23" i="98"/>
  <c r="J26" i="98"/>
  <c r="M22" i="98"/>
  <c r="J23" i="98"/>
  <c r="J24" i="98"/>
  <c r="Q22" i="98"/>
  <c r="J22" i="98"/>
  <c r="M24" i="98"/>
  <c r="M25" i="98"/>
  <c r="O22" i="98"/>
  <c r="M15" i="98"/>
  <c r="Q11" i="98"/>
  <c r="J11" i="98"/>
  <c r="O11" i="98"/>
  <c r="G13" i="91"/>
  <c r="H13" i="91" s="1"/>
  <c r="H25" i="84"/>
  <c r="I24" i="84" s="1"/>
  <c r="H21" i="84"/>
  <c r="U21" i="87"/>
  <c r="R21" i="87"/>
  <c r="V21" i="87"/>
  <c r="V11" i="87"/>
  <c r="R11" i="87"/>
  <c r="U16" i="87"/>
  <c r="R16" i="87"/>
  <c r="V16" i="87"/>
  <c r="L13" i="40"/>
  <c r="L17" i="40" s="1"/>
  <c r="Q26" i="40"/>
  <c r="P17" i="84"/>
  <c r="P24" i="84"/>
  <c r="P22" i="84"/>
  <c r="P15" i="84"/>
  <c r="P18" i="84"/>
  <c r="P21" i="84"/>
  <c r="P16" i="84"/>
  <c r="P19" i="84"/>
  <c r="P20" i="84"/>
  <c r="P23" i="84"/>
  <c r="Q19" i="84"/>
  <c r="Q20" i="84"/>
  <c r="Q15" i="84"/>
  <c r="N25" i="84"/>
  <c r="O24" i="84" s="1"/>
  <c r="Q24" i="84" s="1"/>
  <c r="Q22" i="84"/>
  <c r="Q21" i="84"/>
  <c r="Q23" i="84"/>
  <c r="Q17" i="84"/>
  <c r="Q16" i="84"/>
  <c r="Q18" i="84"/>
  <c r="M15" i="87"/>
  <c r="J15" i="87"/>
  <c r="J23" i="87"/>
  <c r="M25" i="87"/>
  <c r="M22" i="87"/>
  <c r="M23" i="87"/>
  <c r="J25" i="87"/>
  <c r="J22" i="87"/>
  <c r="J24" i="87"/>
  <c r="M24" i="87"/>
  <c r="S21" i="87"/>
  <c r="M18" i="87"/>
  <c r="J18" i="87"/>
  <c r="M20" i="87"/>
  <c r="M19" i="87"/>
  <c r="J20" i="87"/>
  <c r="J19" i="87"/>
  <c r="M17" i="87"/>
  <c r="J17" i="87"/>
  <c r="S11" i="87"/>
  <c r="S16" i="87"/>
  <c r="K17" i="40"/>
  <c r="K13" i="40"/>
  <c r="K14" i="91" l="1"/>
  <c r="F14" i="91"/>
  <c r="Q14" i="91"/>
  <c r="R14" i="91" s="1"/>
  <c r="P15" i="91" s="1"/>
  <c r="R26" i="40"/>
  <c r="R25" i="40"/>
  <c r="M21" i="98"/>
  <c r="M27" i="98"/>
  <c r="R15" i="84"/>
  <c r="M16" i="87"/>
  <c r="M21" i="87"/>
  <c r="L14" i="91" l="1"/>
  <c r="M14" i="91" s="1"/>
  <c r="G14" i="91"/>
  <c r="H14" i="91" s="1"/>
  <c r="F15" i="91" s="1"/>
  <c r="Q15" i="91"/>
  <c r="R15" i="91" s="1"/>
  <c r="P16" i="91" s="1"/>
  <c r="P26" i="40"/>
  <c r="I11" i="28"/>
  <c r="I15" i="28" s="1"/>
  <c r="J17" i="40" s="1"/>
  <c r="G15" i="91" l="1"/>
  <c r="H15" i="91" s="1"/>
  <c r="F16" i="91" s="1"/>
  <c r="Q16" i="91"/>
  <c r="J13" i="40"/>
  <c r="R16" i="91" l="1"/>
  <c r="P17" i="91" s="1"/>
  <c r="K15" i="91"/>
  <c r="G16" i="91"/>
  <c r="AF19" i="84"/>
  <c r="AF20" i="84" s="1"/>
  <c r="Q17" i="91" l="1"/>
  <c r="R17" i="91" s="1"/>
  <c r="L15" i="91"/>
  <c r="M15" i="91" s="1"/>
  <c r="H16" i="91"/>
  <c r="F17" i="91" s="1"/>
  <c r="AF24" i="84"/>
  <c r="AF25" i="84"/>
  <c r="AB24" i="84"/>
  <c r="AB25" i="84"/>
  <c r="O16" i="84"/>
  <c r="S15" i="84" s="1"/>
  <c r="R19" i="91" l="1"/>
  <c r="R18" i="91"/>
  <c r="K16" i="91"/>
  <c r="G17" i="91"/>
  <c r="H17" i="91" s="1"/>
  <c r="F18" i="91" s="1"/>
  <c r="V15" i="84"/>
  <c r="V18" i="84" s="1"/>
  <c r="R20" i="91" l="1"/>
  <c r="L16" i="91"/>
  <c r="M16" i="91" s="1"/>
  <c r="K17" i="91" s="1"/>
  <c r="G18" i="91"/>
  <c r="L17" i="91" l="1"/>
  <c r="M17" i="91" s="1"/>
  <c r="K18" i="91" s="1"/>
  <c r="H18" i="91"/>
  <c r="F19" i="91" s="1"/>
  <c r="L18" i="91" l="1"/>
  <c r="M18" i="91" s="1"/>
  <c r="K19" i="91" s="1"/>
  <c r="G19" i="91"/>
  <c r="L19" i="91" l="1"/>
  <c r="M19" i="91" s="1"/>
  <c r="H19" i="91"/>
  <c r="F20" i="91" s="1"/>
  <c r="K20" i="91" l="1"/>
  <c r="G20" i="91"/>
  <c r="H20" i="91" l="1"/>
  <c r="H21" i="91" s="1"/>
  <c r="H22" i="91" s="1"/>
  <c r="L20" i="91"/>
  <c r="E26" i="91" l="1"/>
  <c r="H24" i="91"/>
  <c r="E20" i="91"/>
  <c r="H26" i="91"/>
  <c r="H29" i="91" s="1"/>
  <c r="E24" i="91"/>
  <c r="M20" i="91"/>
  <c r="M21" i="91" s="1"/>
  <c r="M22" i="91" s="1"/>
  <c r="M26" i="91" l="1"/>
  <c r="J24" i="91"/>
  <c r="J26" i="91"/>
  <c r="E30" i="91"/>
  <c r="H30" i="91"/>
  <c r="H32" i="91" s="1"/>
  <c r="M24" i="91"/>
  <c r="J20" i="91"/>
  <c r="J30" i="91" s="1"/>
  <c r="M29" i="91"/>
  <c r="M30" i="91" l="1"/>
  <c r="M32" i="91" s="1"/>
  <c r="R26" i="91"/>
  <c r="O17" i="91"/>
  <c r="R28" i="91" s="1"/>
  <c r="O26" i="91"/>
  <c r="R24" i="91"/>
  <c r="O28" i="91" l="1"/>
  <c r="R29" i="91"/>
  <c r="O30" i="91"/>
  <c r="O24" i="91"/>
  <c r="R30" i="91"/>
  <c r="R32" i="9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E9805BA6-FE1B-46F3-8A4B-734071A271A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BCA8051A-82C4-452A-ADF3-4CDFF382E686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6F15A311-E62C-4518-A38B-D014B2019057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34D1FD32-89F6-4AC6-89B2-B4849A02A09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A84718AF-B8F4-49B4-8E42-9AA19B2D89C1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AF4B3FA-85E5-4004-9C7C-6B354B5856CE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ABA911E-1EEC-4ADD-AB53-BB5866B1C663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FE100D9-A1C9-46E4-8940-313423935BA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BFA24908-CFBF-4146-B35F-E6FB3832DCFE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52A382B-0D98-4D7A-98BF-0005DA8FF8CC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5587859-3E6E-4BD8-9279-659007DA0C0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<sst xmlns="http://schemas.openxmlformats.org/spreadsheetml/2006/main" count="593" uniqueCount="380">
  <si>
    <t>Balance Sheet</t>
  </si>
  <si>
    <t>Net Income</t>
  </si>
  <si>
    <t>Assets</t>
  </si>
  <si>
    <t>Income Statement</t>
  </si>
  <si>
    <t>EBIT</t>
  </si>
  <si>
    <t>Net Fixed Assets</t>
  </si>
  <si>
    <t>Rate</t>
  </si>
  <si>
    <t>Current Assets</t>
  </si>
  <si>
    <t>Current Liabilities</t>
  </si>
  <si>
    <t>Calculation</t>
  </si>
  <si>
    <t>Cash</t>
  </si>
  <si>
    <t>Assumptions</t>
  </si>
  <si>
    <t>Common Stock</t>
  </si>
  <si>
    <t>High</t>
  </si>
  <si>
    <t>Accounts Payable</t>
  </si>
  <si>
    <t>Seniority</t>
  </si>
  <si>
    <t>Inventory</t>
  </si>
  <si>
    <t>Liquidity</t>
  </si>
  <si>
    <t>Retained Earnings</t>
  </si>
  <si>
    <t>Gross Margin</t>
  </si>
  <si>
    <t>Balance</t>
  </si>
  <si>
    <t>CF</t>
  </si>
  <si>
    <t>Dividends</t>
  </si>
  <si>
    <t>Equity</t>
  </si>
  <si>
    <t>Depreciation</t>
  </si>
  <si>
    <t>∆ Plant &amp; Equip.</t>
  </si>
  <si>
    <t>Revenue</t>
  </si>
  <si>
    <t>This year</t>
  </si>
  <si>
    <t>Last year</t>
  </si>
  <si>
    <t>Salaries</t>
  </si>
  <si>
    <t>Rent</t>
  </si>
  <si>
    <t>R&amp;D</t>
  </si>
  <si>
    <t>Marketing</t>
  </si>
  <si>
    <t>Taxes</t>
  </si>
  <si>
    <t>Interest</t>
  </si>
  <si>
    <t>∆  Inventory</t>
  </si>
  <si>
    <t>∆  Accounts Payable</t>
  </si>
  <si>
    <t>Reported earnings</t>
  </si>
  <si>
    <t>Cost of Sales</t>
  </si>
  <si>
    <t>Long-term Debt</t>
  </si>
  <si>
    <t>Cash from Operations</t>
  </si>
  <si>
    <t>Cash from Financing</t>
  </si>
  <si>
    <t>Cash from Investing</t>
  </si>
  <si>
    <t>Plant &amp; Equip</t>
  </si>
  <si>
    <t>Accounts Rec</t>
  </si>
  <si>
    <t>Accum Deprec</t>
  </si>
  <si>
    <t>Future Value</t>
  </si>
  <si>
    <t>Present Value</t>
  </si>
  <si>
    <t>Cost of Capital</t>
  </si>
  <si>
    <t>Financial Statements</t>
  </si>
  <si>
    <t>Cash Flow Statement</t>
  </si>
  <si>
    <t>Company</t>
  </si>
  <si>
    <t>Total Assets</t>
  </si>
  <si>
    <t>Total Liabilities</t>
  </si>
  <si>
    <t>Total Equity</t>
  </si>
  <si>
    <t>Liabilities + Equity</t>
  </si>
  <si>
    <t>COGS</t>
  </si>
  <si>
    <t>Internal Rate of Return</t>
  </si>
  <si>
    <t>Financing</t>
  </si>
  <si>
    <t>info</t>
  </si>
  <si>
    <t>Lower</t>
  </si>
  <si>
    <t>Higher</t>
  </si>
  <si>
    <t>Owed to suppliers</t>
  </si>
  <si>
    <t>Due from customers</t>
  </si>
  <si>
    <t>Asset purchases</t>
  </si>
  <si>
    <t>Function</t>
  </si>
  <si>
    <t>L/T Debt</t>
  </si>
  <si>
    <t>User</t>
  </si>
  <si>
    <t>Inputs</t>
  </si>
  <si>
    <t>∑</t>
  </si>
  <si>
    <t>y = 1</t>
  </si>
  <si>
    <t>Yr</t>
  </si>
  <si>
    <t>Weighted cost</t>
  </si>
  <si>
    <t>Pct of total</t>
  </si>
  <si>
    <t>S/T Debt</t>
  </si>
  <si>
    <t>Short-term debt</t>
  </si>
  <si>
    <t>Long-term debt</t>
  </si>
  <si>
    <t>Preferred stock</t>
  </si>
  <si>
    <t>Credit line</t>
  </si>
  <si>
    <t>n</t>
  </si>
  <si>
    <t>Preferred Stock</t>
  </si>
  <si>
    <t>∆  Change in Preferred</t>
  </si>
  <si>
    <t>∆  Change in Common</t>
  </si>
  <si>
    <t>Factors</t>
  </si>
  <si>
    <t>10-yr Treasury</t>
  </si>
  <si>
    <t>Cash is King</t>
  </si>
  <si>
    <t>= Valuation</t>
  </si>
  <si>
    <t>Industry</t>
  </si>
  <si>
    <t>Operating Exp</t>
  </si>
  <si>
    <t>IRR</t>
  </si>
  <si>
    <t>FV</t>
  </si>
  <si>
    <t>Weighted Average Cost of Capital</t>
  </si>
  <si>
    <t>Derived</t>
  </si>
  <si>
    <t>Short-term Debt</t>
  </si>
  <si>
    <r>
      <t>CF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</t>
    </r>
  </si>
  <si>
    <t>NPV</t>
  </si>
  <si>
    <t>"I'm taxed on the amount I contribute"</t>
  </si>
  <si>
    <t>"Income tax rates will fall by the time I retire"</t>
  </si>
  <si>
    <t>"I won't liquidate until I'm 59.5 years old"</t>
  </si>
  <si>
    <t>Formula</t>
  </si>
  <si>
    <t>Bond issue</t>
  </si>
  <si>
    <t>Paid-in-capital</t>
  </si>
  <si>
    <t>Common stock</t>
  </si>
  <si>
    <t>"My employer matches my contributions.  That's like free money"</t>
  </si>
  <si>
    <t>Buy a long-term CD instead. You'll earn a fixed rate and the penalty's cheaper</t>
  </si>
  <si>
    <t>Defined</t>
  </si>
  <si>
    <t>Investor-specific</t>
  </si>
  <si>
    <t>Estimated</t>
  </si>
  <si>
    <t>Bank Loan</t>
  </si>
  <si>
    <t>Established</t>
  </si>
  <si>
    <t>Debt</t>
  </si>
  <si>
    <t>Supplier</t>
  </si>
  <si>
    <t>Short</t>
  </si>
  <si>
    <t>Long</t>
  </si>
  <si>
    <t>Low</t>
  </si>
  <si>
    <t>A Swiss Army knife of information</t>
  </si>
  <si>
    <t>EBITDA</t>
  </si>
  <si>
    <t>EV</t>
  </si>
  <si>
    <t>Total</t>
  </si>
  <si>
    <t>Valuation</t>
  </si>
  <si>
    <t>"I need a 401k because it forces me to save"</t>
  </si>
  <si>
    <t>Enterprise Value</t>
  </si>
  <si>
    <t>40% of participants dip in early. If you're desperate for cash, you will too</t>
  </si>
  <si>
    <t>WACC</t>
  </si>
  <si>
    <t>Terminal</t>
  </si>
  <si>
    <t>Accretion</t>
  </si>
  <si>
    <t>So we're making bets now?  Vegas has better odds, plus you get free drinks</t>
  </si>
  <si>
    <t>Time is money</t>
  </si>
  <si>
    <t>Money is time</t>
  </si>
  <si>
    <t>Return is money over time</t>
  </si>
  <si>
    <t>Cap</t>
  </si>
  <si>
    <t>Price ratio</t>
  </si>
  <si>
    <t>Not such a bargain</t>
  </si>
  <si>
    <t>∆ Balance</t>
  </si>
  <si>
    <t>A stock earns 5.1%</t>
  </si>
  <si>
    <t>It sells for 1,000 in 4 years</t>
  </si>
  <si>
    <t>A stock sells for 1,000</t>
  </si>
  <si>
    <t>50/yr dividend</t>
  </si>
  <si>
    <t>50/yr dividend reinvested</t>
  </si>
  <si>
    <t>Scenario 2</t>
  </si>
  <si>
    <t>Scenario 1</t>
  </si>
  <si>
    <t>Scenario 3</t>
  </si>
  <si>
    <t>What is today's price?</t>
  </si>
  <si>
    <t>What is the price in 4 years?</t>
  </si>
  <si>
    <t>A stock costs 750</t>
  </si>
  <si>
    <t>Sell 25/yr</t>
  </si>
  <si>
    <t/>
  </si>
  <si>
    <t>Check</t>
  </si>
  <si>
    <t>PV CF</t>
  </si>
  <si>
    <t>Terminal Cash Flow</t>
  </si>
  <si>
    <t>Equity Value</t>
  </si>
  <si>
    <t>Bonds</t>
  </si>
  <si>
    <r>
      <t>Comparable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A</t>
    </r>
  </si>
  <si>
    <r>
      <t>Comparable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B</t>
    </r>
  </si>
  <si>
    <r>
      <t>Comparable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C</t>
    </r>
  </si>
  <si>
    <t>Indefinite</t>
  </si>
  <si>
    <t>Next</t>
  </si>
  <si>
    <t>Common misconceptions</t>
  </si>
  <si>
    <t>It earns a 5.1% return rate</t>
  </si>
  <si>
    <t>Year</t>
  </si>
  <si>
    <t>Value</t>
  </si>
  <si>
    <t>Capital flow</t>
  </si>
  <si>
    <t>Credit</t>
  </si>
  <si>
    <t>Example</t>
  </si>
  <si>
    <t>Factory</t>
  </si>
  <si>
    <t>Turnover</t>
  </si>
  <si>
    <t>Visa, LOC</t>
  </si>
  <si>
    <t>Liabilities</t>
  </si>
  <si>
    <t>Loan, Bond</t>
  </si>
  <si>
    <t>Seed, IPO</t>
  </si>
  <si>
    <t>How Much</t>
  </si>
  <si>
    <t>Small turnover</t>
  </si>
  <si>
    <t>Large investment</t>
  </si>
  <si>
    <t>Small obligations</t>
  </si>
  <si>
    <t>Large obligations</t>
  </si>
  <si>
    <t>Largest residual</t>
  </si>
  <si>
    <t>Is our cash balance correct?</t>
  </si>
  <si>
    <t>The financial statements of the future</t>
  </si>
  <si>
    <t xml:space="preserve"> </t>
  </si>
  <si>
    <t>Last</t>
  </si>
  <si>
    <t>This</t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</si>
  <si>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>Cash flow is objective. Unlike earnings, it cannot be fudged</t>
    </r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</si>
  <si>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 xml:space="preserve">WACC incorporates company-specific capital structure </t>
    </r>
    <r>
      <rPr>
        <sz val="9"/>
        <rFont val="Calibri"/>
        <family val="2"/>
        <scheme val="minor"/>
      </rPr>
      <t>&amp;</t>
    </r>
    <r>
      <rPr>
        <sz val="11"/>
        <rFont val="Calibri"/>
        <family val="2"/>
        <scheme val="minor"/>
      </rPr>
      <t xml:space="preserve"> risk</t>
    </r>
  </si>
  <si>
    <t>What do we possess and who paid for it?</t>
  </si>
  <si>
    <t>Algebraic
formula</t>
  </si>
  <si>
    <t>What is the Return Rate?</t>
  </si>
  <si>
    <t>50/yr dividend, reinvested</t>
  </si>
  <si>
    <t>Ok this is true... for the matched amount. Deposit that, and not a penny more</t>
  </si>
  <si>
    <r>
      <t>Cash In/</t>
    </r>
    <r>
      <rPr>
        <sz val="10"/>
        <color rgb="FFFF0000"/>
        <rFont val="Calibri"/>
        <family val="2"/>
        <scheme val="minor"/>
      </rPr>
      <t>Out</t>
    </r>
  </si>
  <si>
    <t>CFN * ( 1 + Term %)</t>
  </si>
  <si>
    <t>( WACC – Term % )</t>
  </si>
  <si>
    <t>You're taxed on your withdrawals - years later, when your tax base has grown</t>
  </si>
  <si>
    <t>Return rate</t>
  </si>
  <si>
    <t>Assumption</t>
  </si>
  <si>
    <t>% of sales</t>
  </si>
  <si>
    <t>Adjust. to Net Income</t>
  </si>
  <si>
    <t>Owed to S/T lenders</t>
  </si>
  <si>
    <t>Owed to L/T lenders</t>
  </si>
  <si>
    <t>Rec'd from investors</t>
  </si>
  <si>
    <t>Paid to shareholders</t>
  </si>
  <si>
    <t>Bought raw materials</t>
  </si>
  <si>
    <t>Add non-cash expense</t>
  </si>
  <si>
    <t>-</t>
  </si>
  <si>
    <t>∆  Accounts Recv</t>
  </si>
  <si>
    <t>Components</t>
  </si>
  <si>
    <t xml:space="preserve"> Description</t>
  </si>
  <si>
    <t>Current</t>
  </si>
  <si>
    <r>
      <t>=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IRR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color rgb="FFFF0000"/>
        <rFont val="Calibri"/>
        <family val="2"/>
        <scheme val="minor"/>
      </rPr>
      <t>−CF</t>
    </r>
    <r>
      <rPr>
        <sz val="9.5"/>
        <color rgb="FFFF0000"/>
        <rFont val="Calibri"/>
        <family val="2"/>
        <scheme val="minor"/>
      </rPr>
      <t>0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: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CF</t>
    </r>
    <r>
      <rPr>
        <sz val="9.5"/>
        <rFont val="Calibri"/>
        <family val="2"/>
        <scheme val="minor"/>
      </rPr>
      <t>N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</si>
  <si>
    <r>
      <t>=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NPV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rate,</t>
    </r>
    <r>
      <rPr>
        <sz val="8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CF</t>
    </r>
    <r>
      <rPr>
        <sz val="9.5"/>
        <rFont val="Calibri"/>
        <family val="2"/>
        <scheme val="minor"/>
      </rPr>
      <t>1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:</t>
    </r>
    <r>
      <rPr>
        <sz val="6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CF</t>
    </r>
    <r>
      <rPr>
        <sz val="9.5"/>
        <rFont val="Calibri"/>
        <family val="2"/>
        <scheme val="minor"/>
      </rPr>
      <t>N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</si>
  <si>
    <r>
      <t>=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PV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rate,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nper,</t>
    </r>
    <r>
      <rPr>
        <sz val="4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pmt,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fv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</si>
  <si>
    <r>
      <t>=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FV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rate,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nper,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pmt,</t>
    </r>
    <r>
      <rPr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pv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</si>
  <si>
    <t>Pro Formas</t>
  </si>
  <si>
    <t>Fixed</t>
  </si>
  <si>
    <t>Long-term</t>
  </si>
  <si>
    <t>All</t>
  </si>
  <si>
    <t>A recap, a lay of the land, and an audit</t>
  </si>
  <si>
    <t>WACC is the return rate that covers the cost of capital from all sources</t>
  </si>
  <si>
    <t>Depending on the account, companies use four drivers to generate estimates for subsequent periods</t>
  </si>
  <si>
    <t>Unchanged</t>
  </si>
  <si>
    <r>
      <t>S</t>
    </r>
    <r>
      <rPr>
        <sz val="4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&amp;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 500</t>
    </r>
  </si>
  <si>
    <t>Investment</t>
  </si>
  <si>
    <t>Spending</t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</si>
  <si>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>Price/Earnings offers a shorthand for gauging relative value</t>
    </r>
  </si>
  <si>
    <t>Metric x Ratio</t>
  </si>
  <si>
    <t xml:space="preserve"> This year</t>
  </si>
  <si>
    <t>Change in Preferred</t>
  </si>
  <si>
    <t>Change in Common</t>
  </si>
  <si>
    <r>
      <t>Estimating Return on Equity</t>
    </r>
    <r>
      <rPr>
        <sz val="10"/>
        <rFont val="Calibri"/>
        <family val="2"/>
        <scheme val="minor"/>
      </rPr>
      <t>: Capital Asset Pricing Model</t>
    </r>
  </si>
  <si>
    <r>
      <rPr>
        <sz val="12"/>
        <rFont val="Calibri"/>
        <family val="2"/>
        <scheme val="minor"/>
      </rPr>
      <t>PV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and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NPV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calculate the present value of a series of future cash flows</t>
    </r>
  </si>
  <si>
    <r>
      <rPr>
        <sz val="12"/>
        <rFont val="Calibri"/>
        <family val="2"/>
        <scheme val="minor"/>
      </rPr>
      <t>IRR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calculates the return rate of an initial investment and a series of future cash flows</t>
    </r>
  </si>
  <si>
    <r>
      <rPr>
        <sz val="12"/>
        <rFont val="Calibri"/>
        <family val="2"/>
        <scheme val="minor"/>
      </rPr>
      <t>FV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)</t>
    </r>
    <r>
      <rPr>
        <sz val="1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calculates the future value of a series of future cash flows</t>
    </r>
  </si>
  <si>
    <t>Money costs money</t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</si>
  <si>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>Applies a Terminal Value to account for future growth</t>
    </r>
  </si>
  <si>
    <t>+</t>
  </si>
  <si>
    <t>Date bond is issued</t>
  </si>
  <si>
    <t>Date bond is redeemed</t>
  </si>
  <si>
    <t>Advanced setting - use 100</t>
  </si>
  <si>
    <t>Fractional coupon pmts/yr</t>
  </si>
  <si>
    <t>Annual coupon</t>
  </si>
  <si>
    <t>???</t>
  </si>
  <si>
    <t>Valuations are estimates because cash forecasts and RoE calculations are imprecise</t>
  </si>
  <si>
    <t>As price falls, a bond becomes riskier to hold and must offer higher returns to attract buyers</t>
  </si>
  <si>
    <t xml:space="preserve">The same return divided by a progressively lower price generates increasing yields </t>
  </si>
  <si>
    <r>
      <rPr>
        <b/>
        <sz val="10"/>
        <color rgb="FFC00000"/>
        <rFont val="Calibri"/>
        <family val="2"/>
        <scheme val="minor"/>
      </rPr>
      <t>ASSUMPTIONS</t>
    </r>
    <r>
      <rPr>
        <sz val="10"/>
        <rFont val="Calibri"/>
        <family val="2"/>
        <scheme val="minor"/>
      </rPr>
      <t xml:space="preserve"> provided by other departments, historical </t>
    </r>
    <r>
      <rPr>
        <b/>
        <sz val="10"/>
        <color rgb="FF00009E"/>
        <rFont val="Calibri"/>
        <family val="2"/>
        <scheme val="minor"/>
      </rPr>
      <t>PERCENT of SALES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C07200"/>
        <rFont val="Calibri"/>
        <family val="2"/>
        <scheme val="minor"/>
      </rPr>
      <t>DERIVED</t>
    </r>
    <r>
      <rPr>
        <sz val="10"/>
        <rFont val="Calibri"/>
        <family val="2"/>
        <scheme val="minor"/>
      </rPr>
      <t xml:space="preserve"> from other accounts, or </t>
    </r>
    <r>
      <rPr>
        <b/>
        <sz val="10"/>
        <color rgb="FF006800"/>
        <rFont val="Calibri"/>
        <family val="2"/>
        <scheme val="minor"/>
      </rPr>
      <t>UNCHANGED</t>
    </r>
  </si>
  <si>
    <t>An asset is worth what someone will pay. Companies pay by borrowing money and selling shares. Assets = Liabilities + Equity</t>
  </si>
  <si>
    <t>Earnings</t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</si>
  <si>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>EV/EBITDA measures performance exclusive of capital structure</t>
    </r>
  </si>
  <si>
    <r>
      <rPr>
        <sz val="9"/>
        <rFont val="Calibri"/>
        <family val="2"/>
        <scheme val="minor"/>
      </rPr>
      <t xml:space="preserve">●  </t>
    </r>
    <r>
      <rPr>
        <sz val="11"/>
        <rFont val="Calibri"/>
        <family val="2"/>
        <scheme val="minor"/>
      </rPr>
      <t xml:space="preserve">Applies an industry composite to a company's own performance </t>
    </r>
  </si>
  <si>
    <r>
      <rPr>
        <sz val="9.5"/>
        <rFont val="Calibri"/>
        <family val="2"/>
        <scheme val="minor"/>
      </rPr>
      <t>(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1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+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rate</t>
    </r>
    <r>
      <rPr>
        <sz val="4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)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^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</t>
    </r>
  </si>
  <si>
    <t>one payment</t>
  </si>
  <si>
    <t>Price</t>
  </si>
  <si>
    <t>sale - purchase</t>
  </si>
  <si>
    <t>par - current</t>
  </si>
  <si>
    <t>all remaining</t>
  </si>
  <si>
    <t>total collected</t>
  </si>
  <si>
    <t>Realized</t>
  </si>
  <si>
    <t xml:space="preserve">Bonds are units of debt used in large-scale borrowing. They pay interest and trade publicly </t>
  </si>
  <si>
    <t xml:space="preserve">The Balance Sheet is a map of company resources: </t>
  </si>
  <si>
    <r>
      <rPr>
        <sz val="10"/>
        <color theme="1"/>
        <rFont val="Calibri"/>
        <family val="2"/>
        <scheme val="minor"/>
      </rPr>
      <t>●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Accounts are </t>
    </r>
    <r>
      <rPr>
        <b/>
        <sz val="11"/>
        <color theme="1"/>
        <rFont val="Calibri"/>
        <family val="2"/>
        <scheme val="minor"/>
      </rPr>
      <t>sorted into groups</t>
    </r>
    <r>
      <rPr>
        <sz val="11"/>
        <color theme="1"/>
        <rFont val="Calibri"/>
        <family val="2"/>
        <scheme val="minor"/>
      </rPr>
      <t xml:space="preserve"> - Assets, Liabilities, or Equity - based on how capital is held and deployed</t>
    </r>
  </si>
  <si>
    <r>
      <rPr>
        <sz val="10"/>
        <color theme="1"/>
        <rFont val="Calibri"/>
        <family val="2"/>
        <scheme val="minor"/>
      </rPr>
      <t>●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Within each group, accounts are </t>
    </r>
    <r>
      <rPr>
        <b/>
        <sz val="11"/>
        <color theme="1"/>
        <rFont val="Calibri"/>
        <family val="2"/>
        <scheme val="minor"/>
      </rPr>
      <t>listed in a specific order</t>
    </r>
    <r>
      <rPr>
        <sz val="11"/>
        <color theme="1"/>
        <rFont val="Calibri"/>
        <family val="2"/>
        <scheme val="minor"/>
      </rPr>
      <t xml:space="preserve"> based on a series of shared characteristics</t>
    </r>
  </si>
  <si>
    <t>Capital Structure</t>
  </si>
  <si>
    <t>– Debt</t>
  </si>
  <si>
    <t>= Eq value</t>
  </si>
  <si>
    <t>Ent. value</t>
  </si>
  <si>
    <t>Tax rate</t>
  </si>
  <si>
    <t>Sales</t>
  </si>
  <si>
    <t>Borrow S/T</t>
  </si>
  <si>
    <t>(Repay L/T)</t>
  </si>
  <si>
    <r>
      <t xml:space="preserve">  (</t>
    </r>
    <r>
      <rPr>
        <i/>
        <sz val="9"/>
        <rFont val="Calibri"/>
        <family val="2"/>
        <scheme val="minor"/>
      </rPr>
      <t>Multiply output by 10</t>
    </r>
    <r>
      <rPr>
        <sz val="9"/>
        <rFont val="Calibri"/>
        <family val="2"/>
        <scheme val="minor"/>
      </rPr>
      <t>)</t>
    </r>
  </si>
  <si>
    <r>
      <rPr>
        <sz val="9"/>
        <rFont val="Calibri"/>
        <family val="2"/>
        <scheme val="minor"/>
      </rPr>
      <t xml:space="preserve">  (</t>
    </r>
    <r>
      <rPr>
        <i/>
        <sz val="9"/>
        <rFont val="Calibri"/>
        <family val="2"/>
        <scheme val="minor"/>
      </rPr>
      <t>Divide price parameter by 10</t>
    </r>
    <r>
      <rPr>
        <sz val="9"/>
        <rFont val="Calibri"/>
        <family val="2"/>
        <scheme val="minor"/>
      </rPr>
      <t>)</t>
    </r>
  </si>
  <si>
    <t>Settlement</t>
  </si>
  <si>
    <t>Maturity</t>
  </si>
  <si>
    <t>Redemption</t>
  </si>
  <si>
    <t>Frequency</t>
  </si>
  <si>
    <t>Short-term rate</t>
  </si>
  <si>
    <t>Long-term rate</t>
  </si>
  <si>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*</t>
    </r>
  </si>
  <si>
    <t xml:space="preserve">  =</t>
  </si>
  <si>
    <t xml:space="preserve"> *</t>
  </si>
  <si>
    <t xml:space="preserve"> Short-term debt</t>
  </si>
  <si>
    <t>n/a</t>
  </si>
  <si>
    <t xml:space="preserve">YTM </t>
  </si>
  <si>
    <t>Bond Functions</t>
  </si>
  <si>
    <t>Penalty rate</t>
  </si>
  <si>
    <t>Examples:</t>
  </si>
  <si>
    <t>Payout:</t>
  </si>
  <si>
    <t>Return rate:</t>
  </si>
  <si>
    <t>Cost:</t>
  </si>
  <si>
    <t>β = 1: Price volitily equals market volitility</t>
  </si>
  <si>
    <t>β = 2: Price volitility is twice that of the market</t>
  </si>
  <si>
    <r>
      <t xml:space="preserve">β = </t>
    </r>
    <r>
      <rPr>
        <sz val="10"/>
        <color rgb="FFFF0000"/>
        <rFont val="Calibri"/>
        <family val="2"/>
        <scheme val="minor"/>
      </rPr>
      <t>−1</t>
    </r>
    <r>
      <rPr>
        <sz val="10"/>
        <rFont val="Calibri"/>
        <family val="2"/>
        <scheme val="minor"/>
      </rPr>
      <t>: Price volitility is inversely correlated, etc.</t>
    </r>
  </si>
  <si>
    <t>= Risk-free rate  +   β * Market premium</t>
  </si>
  <si>
    <t>β of stock</t>
  </si>
  <si>
    <r>
      <rPr>
        <sz val="10"/>
        <rFont val="Calibri"/>
        <family val="2"/>
        <scheme val="minor"/>
      </rPr>
      <t xml:space="preserve">+ </t>
    </r>
    <r>
      <rPr>
        <u/>
        <sz val="10"/>
        <rFont val="Calibri"/>
        <family val="2"/>
        <scheme val="minor"/>
      </rPr>
      <t>Cash</t>
    </r>
  </si>
  <si>
    <t xml:space="preserve"> PV</t>
  </si>
  <si>
    <t xml:space="preserve">    PV</t>
  </si>
  <si>
    <t>Timeframe:</t>
  </si>
  <si>
    <t>Calc</t>
  </si>
  <si>
    <t>current price</t>
  </si>
  <si>
    <t>purchase price</t>
  </si>
  <si>
    <t>/</t>
  </si>
  <si>
    <r>
      <t>= PRICE (</t>
    </r>
    <r>
      <rPr>
        <sz val="9.5"/>
        <color theme="1"/>
        <rFont val="Calibri"/>
        <family val="2"/>
        <scheme val="minor"/>
      </rPr>
      <t>settle, mature, rate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006800"/>
        <rFont val="Calibri"/>
        <family val="2"/>
        <scheme val="minor"/>
      </rPr>
      <t>Yield</t>
    </r>
    <r>
      <rPr>
        <sz val="10"/>
        <color theme="1"/>
        <rFont val="Calibri"/>
        <family val="2"/>
        <scheme val="minor"/>
      </rPr>
      <t xml:space="preserve">, </t>
    </r>
    <r>
      <rPr>
        <sz val="9.5"/>
        <color theme="1"/>
        <rFont val="Calibri"/>
        <family val="2"/>
        <scheme val="minor"/>
      </rPr>
      <t>redemp, freq</t>
    </r>
    <r>
      <rPr>
        <sz val="10"/>
        <color theme="1"/>
        <rFont val="Calibri"/>
        <family val="2"/>
        <scheme val="minor"/>
      </rPr>
      <t>)</t>
    </r>
  </si>
  <si>
    <r>
      <t>= YIELD (</t>
    </r>
    <r>
      <rPr>
        <sz val="9.5"/>
        <rFont val="Calibri"/>
        <family val="2"/>
        <scheme val="minor"/>
      </rPr>
      <t>settle, mature, rate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C00000"/>
        <rFont val="Calibri"/>
        <family val="2"/>
        <scheme val="minor"/>
      </rPr>
      <t>Price</t>
    </r>
    <r>
      <rPr>
        <sz val="10"/>
        <rFont val="Calibri"/>
        <family val="2"/>
        <scheme val="minor"/>
      </rPr>
      <t xml:space="preserve">/10, </t>
    </r>
    <r>
      <rPr>
        <sz val="9.5"/>
        <rFont val="Calibri"/>
        <family val="2"/>
        <scheme val="minor"/>
      </rPr>
      <t>redemp, freq</t>
    </r>
    <r>
      <rPr>
        <sz val="10"/>
        <rFont val="Calibri"/>
        <family val="2"/>
        <scheme val="minor"/>
      </rPr>
      <t>)</t>
    </r>
  </si>
  <si>
    <t>RoE</t>
  </si>
  <si>
    <t>PV a</t>
  </si>
  <si>
    <t>PV b</t>
  </si>
  <si>
    <t>PV in</t>
  </si>
  <si>
    <t>A 401 k is a glorified savings account.  It doesn't lower your taxes - it defers them</t>
  </si>
  <si>
    <t>= Debt / ( Debt + Equity ) * COD   +   Equity / ( Debt + Equity ) * ROE</t>
  </si>
  <si>
    <t>●  The risk-free rate found in U.S. Treasuries</t>
  </si>
  <si>
    <t>●  The overall return of the stock market</t>
  </si>
  <si>
    <r>
      <t xml:space="preserve">●  A stock's relative risk, expressed as "beta" 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β</t>
    </r>
  </si>
  <si>
    <r>
      <t>Weighted Average Cost of Capital</t>
    </r>
    <r>
      <rPr>
        <sz val="10"/>
        <color rgb="FF00007E"/>
        <rFont val="Calibri"/>
        <family val="2"/>
        <scheme val="minor"/>
      </rPr>
      <t xml:space="preserve"> (</t>
    </r>
    <r>
      <rPr>
        <b/>
        <sz val="10"/>
        <color rgb="FF00007E"/>
        <rFont val="Calibri"/>
        <family val="2"/>
        <scheme val="minor"/>
      </rPr>
      <t>WACC</t>
    </r>
    <r>
      <rPr>
        <sz val="6"/>
        <color rgb="FF00007E"/>
        <rFont val="Calibri"/>
        <family val="2"/>
        <scheme val="minor"/>
      </rPr>
      <t xml:space="preserve"> </t>
    </r>
    <r>
      <rPr>
        <sz val="10"/>
        <color rgb="FF00007E"/>
        <rFont val="Calibri"/>
        <family val="2"/>
        <scheme val="minor"/>
      </rPr>
      <t>)</t>
    </r>
    <r>
      <rPr>
        <sz val="10"/>
        <rFont val="Calibri"/>
        <family val="2"/>
        <scheme val="minor"/>
      </rPr>
      <t>: Minimum necessary return</t>
    </r>
  </si>
  <si>
    <r>
      <rPr>
        <b/>
        <sz val="10"/>
        <color rgb="FF00007E"/>
        <rFont val="Calibri"/>
        <family val="2"/>
        <scheme val="minor"/>
      </rPr>
      <t>NPV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b/>
        <sz val="11"/>
        <color rgb="FF00007E"/>
        <rFont val="Calibri"/>
        <family val="2"/>
        <scheme val="minor"/>
      </rPr>
      <t xml:space="preserve"> </t>
    </r>
    <r>
      <rPr>
        <b/>
        <sz val="10"/>
        <color rgb="FF00007E"/>
        <rFont val="Calibri"/>
        <family val="2"/>
        <scheme val="minor"/>
      </rPr>
      <t>function</t>
    </r>
  </si>
  <si>
    <r>
      <rPr>
        <b/>
        <sz val="10"/>
        <color rgb="FF00007E"/>
        <rFont val="Calibri"/>
        <family val="2"/>
        <scheme val="minor"/>
      </rPr>
      <t>PV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b/>
        <sz val="11"/>
        <color rgb="FF00007E"/>
        <rFont val="Calibri"/>
        <family val="2"/>
        <scheme val="minor"/>
      </rPr>
      <t xml:space="preserve"> </t>
    </r>
    <r>
      <rPr>
        <b/>
        <sz val="10"/>
        <color rgb="FF00007E"/>
        <rFont val="Calibri"/>
        <family val="2"/>
        <scheme val="minor"/>
      </rPr>
      <t>function</t>
    </r>
  </si>
  <si>
    <r>
      <rPr>
        <b/>
        <sz val="10"/>
        <color rgb="FF00007E"/>
        <rFont val="Calibri"/>
        <family val="2"/>
        <scheme val="minor"/>
      </rPr>
      <t>FV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b/>
        <sz val="11"/>
        <color rgb="FF00007E"/>
        <rFont val="Calibri"/>
        <family val="2"/>
        <scheme val="minor"/>
      </rPr>
      <t xml:space="preserve"> </t>
    </r>
    <r>
      <rPr>
        <b/>
        <sz val="10"/>
        <color rgb="FF00007E"/>
        <rFont val="Calibri"/>
        <family val="2"/>
        <scheme val="minor"/>
      </rPr>
      <t>function</t>
    </r>
  </si>
  <si>
    <r>
      <rPr>
        <b/>
        <sz val="10"/>
        <color rgb="FF00007E"/>
        <rFont val="Calibri"/>
        <family val="2"/>
        <scheme val="minor"/>
      </rPr>
      <t>IRR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b/>
        <sz val="11"/>
        <color rgb="FF00007E"/>
        <rFont val="Calibri"/>
        <family val="2"/>
        <scheme val="minor"/>
      </rPr>
      <t xml:space="preserve"> </t>
    </r>
    <r>
      <rPr>
        <b/>
        <sz val="10"/>
        <color rgb="FF00007E"/>
        <rFont val="Calibri"/>
        <family val="2"/>
        <scheme val="minor"/>
      </rPr>
      <t>function</t>
    </r>
  </si>
  <si>
    <t xml:space="preserve"> Tax rate</t>
  </si>
  <si>
    <r>
      <rPr>
        <b/>
        <sz val="10"/>
        <color rgb="FF00007E"/>
        <rFont val="Calibri"/>
        <family val="2"/>
        <scheme val="minor"/>
      </rPr>
      <t>Enterprise Value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</t>
    </r>
    <r>
      <rPr>
        <sz val="10"/>
        <rFont val="Calibri"/>
        <family val="2"/>
        <scheme val="minor"/>
      </rPr>
      <t>total capitalization</t>
    </r>
    <r>
      <rPr>
        <sz val="9"/>
        <rFont val="Calibri"/>
        <family val="2"/>
        <scheme val="minor"/>
      </rPr>
      <t>)</t>
    </r>
  </si>
  <si>
    <r>
      <rPr>
        <b/>
        <sz val="10"/>
        <color rgb="FF00007E"/>
        <rFont val="Calibri"/>
        <family val="2"/>
        <scheme val="minor"/>
      </rPr>
      <t>Equity Value</t>
    </r>
    <r>
      <rPr>
        <sz val="10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</t>
    </r>
    <r>
      <rPr>
        <sz val="10"/>
        <color theme="1"/>
        <rFont val="Calibri"/>
        <family val="2"/>
        <scheme val="minor"/>
      </rPr>
      <t>mkt cap</t>
    </r>
    <r>
      <rPr>
        <sz val="9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</si>
  <si>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NPV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</si>
  <si>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PV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</t>
    </r>
    <r>
      <rPr>
        <sz val="1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)</t>
    </r>
  </si>
  <si>
    <r>
      <rPr>
        <b/>
        <sz val="10"/>
        <color rgb="FF00007E"/>
        <rFont val="Calibri"/>
        <family val="2"/>
        <scheme val="minor"/>
      </rPr>
      <t>Method 1: Discounted Cash Flow</t>
    </r>
    <r>
      <rPr>
        <sz val="10"/>
        <rFont val="Calibri"/>
        <family val="2"/>
        <scheme val="minor"/>
      </rPr>
      <t xml:space="preserve"> − a company-level NPV calculation </t>
    </r>
    <r>
      <rPr>
        <sz val="9"/>
        <rFont val="Calibri"/>
        <family val="2"/>
        <scheme val="minor"/>
      </rPr>
      <t>(</t>
    </r>
    <r>
      <rPr>
        <sz val="10"/>
        <rFont val="Calibri"/>
        <family val="2"/>
        <scheme val="minor"/>
      </rPr>
      <t>the most reliable method</t>
    </r>
    <r>
      <rPr>
        <sz val="9"/>
        <rFont val="Calibri"/>
        <family val="2"/>
        <scheme val="minor"/>
      </rPr>
      <t>)</t>
    </r>
  </si>
  <si>
    <r>
      <rPr>
        <b/>
        <sz val="10"/>
        <color rgb="FF00007E"/>
        <rFont val="Calibri"/>
        <family val="2"/>
        <scheme val="minor"/>
      </rPr>
      <t>Method 2: Industry Multiple</t>
    </r>
    <r>
      <rPr>
        <sz val="10"/>
        <rFont val="Calibri"/>
        <family val="2"/>
        <scheme val="minor"/>
      </rPr>
      <t xml:space="preserve"> − a comparison to one's peers</t>
    </r>
  </si>
  <si>
    <r>
      <rPr>
        <b/>
        <sz val="10"/>
        <color rgb="FF00007E"/>
        <rFont val="Calibri"/>
        <family val="2"/>
        <scheme val="minor"/>
      </rPr>
      <t>Yield</t>
    </r>
    <r>
      <rPr>
        <sz val="10"/>
        <rFont val="Calibri"/>
        <family val="2"/>
        <scheme val="minor"/>
      </rPr>
      <t xml:space="preserve"> is the rate of return on a bond investment. There are 3 levels of specificity:</t>
    </r>
  </si>
  <si>
    <t>Financial</t>
  </si>
  <si>
    <t>Mathematical</t>
  </si>
  <si>
    <t>Practical</t>
  </si>
  <si>
    <t>Current:</t>
  </si>
  <si>
    <t>YTM:</t>
  </si>
  <si>
    <t>Realized:</t>
  </si>
  <si>
    <r>
      <t>Price and Yield are inversely correlated</t>
    </r>
    <r>
      <rPr>
        <sz val="10"/>
        <rFont val="Calibri"/>
        <family val="2"/>
        <scheme val="minor"/>
      </rPr>
      <t>. Three insights illustrate this dynamic:</t>
    </r>
  </si>
  <si>
    <t>❶</t>
  </si>
  <si>
    <t>❷</t>
  </si>
  <si>
    <r>
      <t xml:space="preserve">A 1,100 bond pays 6.4% </t>
    </r>
    <r>
      <rPr>
        <b/>
        <sz val="9"/>
        <color rgb="FFFF0000"/>
        <rFont val="Calibri"/>
        <family val="2"/>
        <scheme val="minor"/>
      </rPr>
      <t>❶</t>
    </r>
    <r>
      <rPr>
        <sz val="10"/>
        <rFont val="Calibri"/>
        <family val="2"/>
        <scheme val="minor"/>
      </rPr>
      <t>.  Rates go up, and new bonds pay 6.5% …</t>
    </r>
  </si>
  <si>
    <r>
      <t xml:space="preserve">To match the new 6.5% yield, the price drops from 1,100 to 1,075 </t>
    </r>
    <r>
      <rPr>
        <b/>
        <sz val="9"/>
        <color rgb="FFFF0000"/>
        <rFont val="Calibri"/>
        <family val="2"/>
        <scheme val="minor"/>
      </rPr>
      <t>❷</t>
    </r>
  </si>
  <si>
    <r>
      <rPr>
        <b/>
        <sz val="10"/>
        <color rgb="FF00007E"/>
        <rFont val="Calibri"/>
        <family val="2"/>
        <scheme val="minor"/>
      </rPr>
      <t>PRICE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sz val="10"/>
        <rFont val="Calibri"/>
        <family val="2"/>
        <scheme val="minor"/>
      </rPr>
      <t xml:space="preserve"> returns the market value, given the yield</t>
    </r>
  </si>
  <si>
    <r>
      <rPr>
        <b/>
        <sz val="10"/>
        <color rgb="FF00007E"/>
        <rFont val="Calibri"/>
        <family val="2"/>
        <scheme val="minor"/>
      </rPr>
      <t>YIELD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(</t>
    </r>
    <r>
      <rPr>
        <sz val="6"/>
        <color rgb="FF00007E"/>
        <rFont val="Calibri"/>
        <family val="2"/>
        <scheme val="minor"/>
      </rPr>
      <t xml:space="preserve"> </t>
    </r>
    <r>
      <rPr>
        <sz val="9.5"/>
        <color rgb="FF00007E"/>
        <rFont val="Calibri"/>
        <family val="2"/>
        <scheme val="minor"/>
      </rPr>
      <t>)</t>
    </r>
    <r>
      <rPr>
        <sz val="10"/>
        <rFont val="Calibri"/>
        <family val="2"/>
        <scheme val="minor"/>
      </rPr>
      <t xml:space="preserve"> returns the yield to maturity, given the price</t>
    </r>
  </si>
  <si>
    <r>
      <t>Annuities: 401</t>
    </r>
    <r>
      <rPr>
        <b/>
        <sz val="16"/>
        <rFont val="Calibri"/>
        <family val="2"/>
        <scheme val="minor"/>
      </rPr>
      <t>k</t>
    </r>
    <r>
      <rPr>
        <b/>
        <sz val="18"/>
        <rFont val="Calibri"/>
        <family val="2"/>
        <scheme val="minor"/>
      </rPr>
      <t xml:space="preserve"> math</t>
    </r>
  </si>
  <si>
    <r>
      <rPr>
        <sz val="10"/>
        <rFont val="Calibri"/>
        <family val="2"/>
        <scheme val="minor"/>
      </rPr>
      <t>⎰</t>
    </r>
    <r>
      <rPr>
        <sz val="10"/>
        <color rgb="FF006800"/>
        <rFont val="Calibri"/>
        <family val="2"/>
        <scheme val="minor"/>
      </rPr>
      <t>Yield</t>
    </r>
  </si>
  <si>
    <r>
      <rPr>
        <sz val="10"/>
        <rFont val="Calibri"/>
        <family val="2"/>
        <scheme val="minor"/>
      </rPr>
      <t>⎱</t>
    </r>
    <r>
      <rPr>
        <sz val="10"/>
        <color rgb="FFC00000"/>
        <rFont val="Calibri"/>
        <family val="2"/>
        <scheme val="minor"/>
      </rPr>
      <t>Price</t>
    </r>
  </si>
  <si>
    <r>
      <t>Assumption for PRICE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)</t>
    </r>
  </si>
  <si>
    <r>
      <t>Assumption for YIELD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(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)</t>
    </r>
  </si>
  <si>
    <r>
      <t xml:space="preserve">Income Statement:  </t>
    </r>
    <r>
      <rPr>
        <sz val="11.5"/>
        <rFont val="Calibri"/>
        <family val="2"/>
        <scheme val="minor"/>
      </rPr>
      <t>A recap</t>
    </r>
  </si>
  <si>
    <r>
      <t xml:space="preserve">Balance Sheet:  </t>
    </r>
    <r>
      <rPr>
        <sz val="11.5"/>
        <rFont val="Calibri"/>
        <family val="2"/>
        <scheme val="minor"/>
      </rPr>
      <t>A lay of the land</t>
    </r>
  </si>
  <si>
    <r>
      <t xml:space="preserve">Cash Flow Statement:  </t>
    </r>
    <r>
      <rPr>
        <sz val="11.5"/>
        <rFont val="Calibri"/>
        <family val="2"/>
        <scheme val="minor"/>
      </rPr>
      <t>An audit</t>
    </r>
  </si>
  <si>
    <r>
      <t xml:space="preserve">How much did we sell, spend, </t>
    </r>
    <r>
      <rPr>
        <sz val="9"/>
        <rFont val="Calibri"/>
        <family val="2"/>
        <scheme val="minor"/>
      </rPr>
      <t>&amp;</t>
    </r>
    <r>
      <rPr>
        <sz val="10"/>
        <rFont val="Calibri"/>
        <family val="2"/>
        <scheme val="minor"/>
      </rPr>
      <t xml:space="preserve"> earn?</t>
    </r>
  </si>
  <si>
    <r>
      <rPr>
        <sz val="9"/>
        <rFont val="Calibri"/>
        <family val="2"/>
        <scheme val="minor"/>
      </rPr>
      <t xml:space="preserve">●  </t>
    </r>
    <r>
      <rPr>
        <sz val="10"/>
        <rFont val="Calibri"/>
        <family val="2"/>
        <scheme val="minor"/>
      </rPr>
      <t xml:space="preserve">Current yield − Single-period return from an </t>
    </r>
    <r>
      <rPr>
        <b/>
        <sz val="10"/>
        <color rgb="FF006800"/>
        <rFont val="Calibri"/>
        <family val="2"/>
        <scheme val="minor"/>
      </rPr>
      <t>interest</t>
    </r>
    <r>
      <rPr>
        <sz val="10"/>
        <rFont val="Calibri"/>
        <family val="2"/>
        <scheme val="minor"/>
      </rPr>
      <t xml:space="preserve"> payment (generally 1 year)</t>
    </r>
  </si>
  <si>
    <r>
      <rPr>
        <b/>
        <sz val="10"/>
        <color rgb="FF00007E"/>
        <rFont val="Calibri"/>
        <family val="2"/>
        <scheme val="minor"/>
      </rPr>
      <t>Price</t>
    </r>
    <r>
      <rPr>
        <sz val="10"/>
        <rFont val="Calibri"/>
        <family val="2"/>
        <scheme val="minor"/>
      </rPr>
      <t xml:space="preserve"> is driven by market forces, but converges back to face value (par) at maturity and the bond is redeemed</t>
    </r>
  </si>
  <si>
    <r>
      <rPr>
        <sz val="9"/>
        <rFont val="Calibri"/>
        <family val="2"/>
        <scheme val="minor"/>
      </rPr>
      <t xml:space="preserve">●  </t>
    </r>
    <r>
      <rPr>
        <sz val="10"/>
        <rFont val="Calibri"/>
        <family val="2"/>
        <scheme val="minor"/>
      </rPr>
      <t xml:space="preserve">Yield to maturity − Forecasted IRR from </t>
    </r>
    <r>
      <rPr>
        <b/>
        <sz val="10"/>
        <color rgb="FF006800"/>
        <rFont val="Calibri"/>
        <family val="2"/>
        <scheme val="minor"/>
      </rPr>
      <t>interest</t>
    </r>
    <r>
      <rPr>
        <sz val="10"/>
        <rFont val="Calibri"/>
        <family val="2"/>
        <scheme val="minor"/>
      </rPr>
      <t xml:space="preserve"> + </t>
    </r>
    <r>
      <rPr>
        <b/>
        <sz val="10"/>
        <color rgb="FFC00000"/>
        <rFont val="Calibri"/>
        <family val="2"/>
        <scheme val="minor"/>
      </rPr>
      <t>price</t>
    </r>
    <r>
      <rPr>
        <sz val="10"/>
        <rFont val="Calibri"/>
        <family val="2"/>
        <scheme val="minor"/>
      </rPr>
      <t xml:space="preserve"> increase/</t>
    </r>
    <r>
      <rPr>
        <sz val="10"/>
        <color rgb="FFFF0000"/>
        <rFont val="Calibri"/>
        <family val="2"/>
        <scheme val="minor"/>
      </rPr>
      <t>decrease</t>
    </r>
    <r>
      <rPr>
        <sz val="10"/>
        <rFont val="Calibri"/>
        <family val="2"/>
        <scheme val="minor"/>
      </rPr>
      <t xml:space="preserve"> when a bond is redeemed</t>
    </r>
  </si>
  <si>
    <r>
      <rPr>
        <sz val="9"/>
        <rFont val="Calibri"/>
        <family val="2"/>
        <scheme val="minor"/>
      </rPr>
      <t xml:space="preserve">●  </t>
    </r>
    <r>
      <rPr>
        <sz val="10"/>
        <rFont val="Calibri"/>
        <family val="2"/>
        <scheme val="minor"/>
      </rPr>
      <t xml:space="preserve">Realized yield − Annualized return from </t>
    </r>
    <r>
      <rPr>
        <b/>
        <sz val="10"/>
        <color rgb="FF006800"/>
        <rFont val="Calibri"/>
        <family val="2"/>
        <scheme val="minor"/>
      </rPr>
      <t>interest</t>
    </r>
    <r>
      <rPr>
        <sz val="10"/>
        <rFont val="Calibri"/>
        <family val="2"/>
        <scheme val="minor"/>
      </rPr>
      <t xml:space="preserve"> + </t>
    </r>
    <r>
      <rPr>
        <b/>
        <sz val="10"/>
        <color rgb="FFC00000"/>
        <rFont val="Calibri"/>
        <family val="2"/>
        <scheme val="minor"/>
      </rPr>
      <t>price</t>
    </r>
    <r>
      <rPr>
        <sz val="10"/>
        <color rgb="FFC0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increase/</t>
    </r>
    <r>
      <rPr>
        <sz val="10"/>
        <color rgb="FFFF0000"/>
        <rFont val="Calibri"/>
        <family val="2"/>
        <scheme val="minor"/>
      </rPr>
      <t>decrease</t>
    </r>
    <r>
      <rPr>
        <sz val="10"/>
        <rFont val="Calibri"/>
        <family val="2"/>
        <scheme val="minor"/>
      </rPr>
      <t xml:space="preserve"> when  bond is sold</t>
    </r>
  </si>
  <si>
    <t xml:space="preserve">  Long-term rate</t>
  </si>
  <si>
    <t xml:space="preserve">  Short-term rate</t>
  </si>
  <si>
    <t>Start</t>
  </si>
  <si>
    <t>Earn</t>
  </si>
  <si>
    <t>Penalty:</t>
  </si>
  <si>
    <t>Tax:</t>
  </si>
  <si>
    <t>Out:</t>
  </si>
  <si>
    <r>
      <t>Tax</t>
    </r>
    <r>
      <rPr>
        <sz val="10"/>
        <rFont val="Calibri"/>
        <family val="2"/>
        <scheme val="minor"/>
      </rPr>
      <t>:</t>
    </r>
  </si>
  <si>
    <t>Contributions</t>
  </si>
  <si>
    <t>Initial deposiit</t>
  </si>
  <si>
    <r>
      <t>Net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bp</t>
    </r>
  </si>
  <si>
    <r>
      <t>Scenario 1</t>
    </r>
    <r>
      <rPr>
        <sz val="10"/>
        <rFont val="Calibri"/>
        <family val="2"/>
        <scheme val="minor"/>
      </rPr>
      <t xml:space="preserve"> - Hold to maturity</t>
    </r>
  </si>
  <si>
    <r>
      <t>Scenario 2</t>
    </r>
    <r>
      <rPr>
        <sz val="10"/>
        <rFont val="Calibri"/>
        <family val="2"/>
        <scheme val="minor"/>
      </rPr>
      <t xml:space="preserve"> - Hold to maturity</t>
    </r>
  </si>
  <si>
    <r>
      <t>Scenario 3</t>
    </r>
    <r>
      <rPr>
        <sz val="10"/>
        <rFont val="Calibri"/>
        <family val="2"/>
        <scheme val="minor"/>
      </rPr>
      <t xml:space="preserve"> - Liquidate early</t>
    </r>
  </si>
  <si>
    <t>Time Value of Money</t>
  </si>
  <si>
    <r>
      <t xml:space="preserve">Capital </t>
    </r>
    <r>
      <rPr>
        <sz val="10"/>
        <color theme="1"/>
        <rFont val="Segoe UI Variable Display Semib"/>
      </rPr>
      <t>&amp;</t>
    </r>
    <r>
      <rPr>
        <sz val="11"/>
        <color theme="1"/>
        <rFont val="Segoe UI Variable Display Semib"/>
      </rPr>
      <t xml:space="preserve"> Valuation</t>
    </r>
  </si>
  <si>
    <t xml:space="preserve"> Income Statement</t>
  </si>
  <si>
    <t xml:space="preserve"> Present Value</t>
  </si>
  <si>
    <t xml:space="preserve"> Cost of Debt</t>
  </si>
  <si>
    <t xml:space="preserve"> Balance Sheet</t>
  </si>
  <si>
    <t xml:space="preserve"> Fugure Value</t>
  </si>
  <si>
    <t xml:space="preserve"> Return on Equity</t>
  </si>
  <si>
    <t xml:space="preserve"> Cash Flows</t>
  </si>
  <si>
    <t xml:space="preserve"> Rate of Return</t>
  </si>
  <si>
    <t xml:space="preserve"> Valuation</t>
  </si>
  <si>
    <t xml:space="preserve"> Pro Formas</t>
  </si>
  <si>
    <t xml:space="preserve"> Annuities</t>
  </si>
  <si>
    <t xml:space="preserve"> Bond Price &amp; Yield</t>
  </si>
  <si>
    <t>Tradeable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</si>
</sst>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0.0%"/>
    <numFmt numFmtId="165" formatCode="0_);[Red]\(0\)"/>
    <numFmt numFmtId="166" formatCode="#,##0.0_);[Red]\(#,##0.0\)"/>
    <numFmt numFmtId="167" formatCode="#,##0;[Red]#,##0"/>
    <numFmt numFmtId="168" formatCode="#,##0.0"/>
    <numFmt numFmtId="169" formatCode="0;[Red]\-0"/>
    <numFmt numFmtId="170" formatCode="#,##0;[Red]\-#,##0"/>
    <numFmt numFmtId="171" formatCode="\+0;[Red]\-0"/>
    <numFmt numFmtId="172" formatCode="#,##0_);\-\(#,##0\)"/>
    <numFmt numFmtId="173" formatCode="\+#,##0;[Red]\-#,##0"/>
    <numFmt numFmtId="174" formatCode="0.00_);[Red]\(0.00\)"/>
    <numFmt numFmtId="175" formatCode="\=\ 0.0%"/>
    <numFmt numFmtId="176" formatCode="m/d/yy\ ;@"/>
    <numFmt numFmtId="177" formatCode="0.0%\ "/>
    <numFmt numFmtId="178" formatCode="#,##0\ "/>
    <numFmt numFmtId="179" formatCode="\+#,##0_)&quot;/&quot;;[Red]\+\(#,##0\)&quot;/&quot;"/>
    <numFmt numFmtId="180" formatCode="\(#,##0;[Red]\(#,##0"/>
    <numFmt numFmtId="181" formatCode="\ \ \+0\);[Red]\-\ 0\)"/>
    <numFmt numFmtId="182" formatCode="&quot;/ &quot;#,##0\ \=;[Red]&quot;/ &quot;#,##0\ \="/>
    <numFmt numFmtId="183" formatCode="0%\ "/>
    <numFmt numFmtId="184" formatCode="#,##0\ ;[Red]\-#,##0\ "/>
    <numFmt numFmtId="185" formatCode="#,##0.0;[Red]#,##0.0"/>
    <numFmt numFmtId="186" formatCode="0\);[Red]\-0\)"/>
    <numFmt numFmtId="187" formatCode="&quot;/ &quot;#,##0\ \=\ ;[Red]&quot;/ &quot;#,##0\ \=\ "/>
    <numFmt numFmtId="188" formatCode="\=\ #,##0;[Red]#,##0"/>
    <numFmt numFmtId="189" formatCode="#,##0.0\ ;[Red]\−#,##0.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name val="Verdana"/>
      <family val="2"/>
    </font>
    <font>
      <sz val="9.5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sz val="12"/>
      <name val="Calibri"/>
      <family val="2"/>
      <scheme val="minor"/>
    </font>
    <font>
      <sz val="4"/>
      <name val="Calibri"/>
      <family val="2"/>
      <scheme val="minor"/>
    </font>
    <font>
      <i/>
      <sz val="10"/>
      <color rgb="FFC00000"/>
      <name val="Calibri"/>
      <family val="2"/>
      <scheme val="minor"/>
    </font>
    <font>
      <sz val="11"/>
      <color rgb="FF000074"/>
      <name val="Calibri"/>
      <family val="2"/>
      <scheme val="minor"/>
    </font>
    <font>
      <sz val="1"/>
      <color rgb="FFF7F7F7"/>
      <name val="Calibri"/>
      <family val="2"/>
      <scheme val="minor"/>
    </font>
    <font>
      <i/>
      <sz val="10"/>
      <name val="Calibri"/>
      <family val="2"/>
      <scheme val="minor"/>
    </font>
    <font>
      <sz val="24"/>
      <name val="Corbel Light"/>
      <family val="2"/>
    </font>
    <font>
      <sz val="8"/>
      <name val="Calibri"/>
      <family val="2"/>
    </font>
    <font>
      <b/>
      <i/>
      <sz val="11"/>
      <color rgb="FFC00000"/>
      <name val="Calibri"/>
      <family val="2"/>
      <scheme val="minor"/>
    </font>
    <font>
      <b/>
      <sz val="8"/>
      <name val="Calibri"/>
      <family val="2"/>
      <scheme val="minor"/>
    </font>
    <font>
      <i/>
      <sz val="9.5"/>
      <name val="Calibri"/>
      <family val="2"/>
      <scheme val="minor"/>
    </font>
    <font>
      <sz val="9.5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3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i/>
      <sz val="13"/>
      <name val="Calibri"/>
      <family val="2"/>
      <scheme val="minor"/>
    </font>
    <font>
      <i/>
      <sz val="13"/>
      <color indexed="18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rgb="FFC00000"/>
      <name val="Calibri"/>
      <family val="2"/>
      <scheme val="minor"/>
    </font>
    <font>
      <b/>
      <sz val="9.5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D27D00"/>
      <name val="Calibri"/>
      <family val="2"/>
      <scheme val="minor"/>
    </font>
    <font>
      <i/>
      <sz val="10"/>
      <color rgb="FF006600"/>
      <name val="Calibri"/>
      <family val="2"/>
      <scheme val="minor"/>
    </font>
    <font>
      <u/>
      <sz val="10"/>
      <color theme="3" tint="-0.499984740745262"/>
      <name val="Calibri"/>
      <family val="2"/>
      <scheme val="minor"/>
    </font>
    <font>
      <sz val="10"/>
      <color rgb="FF000074"/>
      <name val="Calibri"/>
      <family val="2"/>
      <scheme val="minor"/>
    </font>
    <font>
      <u/>
      <sz val="8"/>
      <color theme="3" tint="-0.499984740745262"/>
      <name val="Calibri"/>
      <family val="2"/>
      <scheme val="minor"/>
    </font>
    <font>
      <sz val="8"/>
      <color rgb="FF008200"/>
      <name val="Calibri"/>
      <family val="2"/>
      <scheme val="minor"/>
    </font>
    <font>
      <sz val="9.5"/>
      <color rgb="FF008200"/>
      <name val="Calibri"/>
      <family val="2"/>
      <scheme val="minor"/>
    </font>
    <font>
      <sz val="9.5"/>
      <color theme="0" tint="-0.34998626667073579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006800"/>
      <name val="Calibri"/>
      <family val="2"/>
      <scheme val="minor"/>
    </font>
    <font>
      <sz val="9.5"/>
      <color theme="6"/>
      <name val="Calibri"/>
      <family val="2"/>
      <scheme val="minor"/>
    </font>
    <font>
      <sz val="10"/>
      <color rgb="FF006800"/>
      <name val="Calibri"/>
      <family val="2"/>
      <scheme val="minor"/>
    </font>
    <font>
      <b/>
      <sz val="10"/>
      <color rgb="FFA80000"/>
      <name val="Calibri"/>
      <family val="2"/>
      <scheme val="minor"/>
    </font>
    <font>
      <b/>
      <sz val="10"/>
      <color rgb="FF00009E"/>
      <name val="Calibri"/>
      <family val="2"/>
      <scheme val="minor"/>
    </font>
    <font>
      <sz val="9.5"/>
      <color rgb="FF00009E"/>
      <name val="Calibri"/>
      <family val="2"/>
      <scheme val="minor"/>
    </font>
    <font>
      <sz val="10"/>
      <color rgb="FF00009E"/>
      <name val="Calibri"/>
      <family val="2"/>
      <scheme val="minor"/>
    </font>
    <font>
      <sz val="9.5"/>
      <color rgb="FF006800"/>
      <name val="Calibri"/>
      <family val="2"/>
      <scheme val="minor"/>
    </font>
    <font>
      <b/>
      <sz val="10"/>
      <color rgb="FFC07200"/>
      <name val="Calibri"/>
      <family val="2"/>
      <scheme val="minor"/>
    </font>
    <font>
      <sz val="9.5"/>
      <color rgb="FFC07200"/>
      <name val="Calibri"/>
      <family val="2"/>
      <scheme val="minor"/>
    </font>
    <font>
      <sz val="14"/>
      <color rgb="FF00007E"/>
      <name val="Calibri"/>
      <family val="2"/>
      <scheme val="minor"/>
    </font>
    <font>
      <i/>
      <sz val="10"/>
      <color rgb="FF00007E"/>
      <name val="Calibri"/>
      <family val="2"/>
      <scheme val="minor"/>
    </font>
    <font>
      <sz val="9.5"/>
      <color theme="1"/>
      <name val="Segoe UI"/>
      <family val="2"/>
    </font>
    <font>
      <b/>
      <sz val="11"/>
      <color theme="1"/>
      <name val="Segoe UI"/>
      <family val="2"/>
    </font>
    <font>
      <b/>
      <sz val="9.5"/>
      <color rgb="FF00007E"/>
      <name val="Calibri"/>
      <family val="2"/>
      <scheme val="minor"/>
    </font>
    <font>
      <sz val="6"/>
      <color rgb="FF00007E"/>
      <name val="Calibri"/>
      <family val="2"/>
      <scheme val="minor"/>
    </font>
    <font>
      <sz val="10"/>
      <name val="Calibri"/>
      <family val="2"/>
    </font>
    <font>
      <u/>
      <sz val="10"/>
      <name val="Calibri"/>
      <family val="2"/>
      <scheme val="minor"/>
    </font>
    <font>
      <i/>
      <sz val="9"/>
      <name val="Calibri"/>
      <family val="2"/>
      <scheme val="minor"/>
    </font>
    <font>
      <sz val="9.5"/>
      <color rgb="FF00007E"/>
      <name val="Calibri"/>
      <family val="2"/>
      <scheme val="minor"/>
    </font>
    <font>
      <sz val="10"/>
      <color rgb="FF00007E"/>
      <name val="Calibri"/>
      <family val="2"/>
      <scheme val="minor"/>
    </font>
    <font>
      <b/>
      <sz val="10"/>
      <color rgb="FF00007E"/>
      <name val="Calibri"/>
      <family val="2"/>
      <scheme val="minor"/>
    </font>
    <font>
      <sz val="11"/>
      <color rgb="FF00007E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00007E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rgb="FFFF0000"/>
      <name val="Calibri"/>
      <family val="2"/>
      <scheme val="minor"/>
    </font>
    <font>
      <sz val="11.5"/>
      <name val="Calibri"/>
      <family val="2"/>
      <scheme val="minor"/>
    </font>
    <font>
      <sz val="14"/>
      <color rgb="FF00009E"/>
      <name val="Calibri"/>
      <family val="2"/>
      <scheme val="minor"/>
    </font>
    <font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800"/>
      <name val="Calibri"/>
      <family val="2"/>
      <scheme val="minor"/>
    </font>
    <font>
      <sz val="11"/>
      <color theme="1"/>
      <name val="Segoe UI Variable Display Semib"/>
    </font>
    <font>
      <sz val="10"/>
      <color theme="1"/>
      <name val="Segoe UI Variable Display Semib"/>
    </font>
    <font>
      <sz val="11"/>
      <color rgb="FF000000"/>
      <name val="Segoe UI Variable Display"/>
    </font>
    <font>
      <u/>
      <sz val="11"/>
      <color theme="10"/>
      <name val="Calibri"/>
      <family val="2"/>
      <scheme val="minor"/>
    </font>
    <font>
      <u/>
      <sz val="10"/>
      <color theme="10"/>
      <name val="Segoe UI Semibold"/>
      <family val="2"/>
    </font>
    <font>
      <sz val="9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7600"/>
        <bgColor indexed="64"/>
      </patternFill>
    </fill>
    <fill>
      <patternFill patternType="solid">
        <fgColor rgb="FF00A400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3B3B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9E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D42C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EAE7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0D3D2"/>
        <bgColor indexed="64"/>
      </patternFill>
    </fill>
    <fill>
      <patternFill patternType="solid">
        <fgColor rgb="FFE5EDD3"/>
        <bgColor indexed="64"/>
      </patternFill>
    </fill>
    <fill>
      <patternFill patternType="solid">
        <fgColor rgb="FFECF2FA"/>
        <bgColor indexed="64"/>
      </patternFill>
    </fill>
    <fill>
      <patternFill patternType="solid">
        <fgColor rgb="FFF9ECEB"/>
        <bgColor indexed="64"/>
      </patternFill>
    </fill>
    <fill>
      <patternFill patternType="solid">
        <fgColor rgb="FFF5F8F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1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5" fillId="2" borderId="1">
      <alignment horizontal="center" vertical="justify"/>
    </xf>
    <xf numFmtId="0" fontId="6" fillId="0" borderId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3" fillId="0" borderId="0"/>
    <xf numFmtId="0" fontId="17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100" fillId="0" borderId="0" applyNumberFormat="0" applyFill="0" applyBorder="0" applyAlignment="0" applyProtection="0"/>
  </cellStyleXfs>
  <cellXfs count="975">
    <xf numFmtId="0" fontId="0" fillId="0" borderId="0" xfId="0"/>
    <xf numFmtId="38" fontId="10" fillId="3" borderId="13" xfId="0" applyNumberFormat="1" applyFont="1" applyFill="1" applyBorder="1" applyProtection="1">
      <protection hidden="1"/>
    </xf>
    <xf numFmtId="38" fontId="9" fillId="11" borderId="13" xfId="1" applyNumberFormat="1" applyFont="1" applyFill="1" applyBorder="1" applyProtection="1">
      <protection hidden="1"/>
    </xf>
    <xf numFmtId="38" fontId="9" fillId="10" borderId="14" xfId="4" applyNumberFormat="1" applyFont="1" applyFill="1" applyBorder="1" applyProtection="1">
      <protection hidden="1"/>
    </xf>
    <xf numFmtId="38" fontId="9" fillId="14" borderId="13" xfId="1" applyNumberFormat="1" applyFont="1" applyFill="1" applyBorder="1" applyProtection="1">
      <protection hidden="1"/>
    </xf>
    <xf numFmtId="38" fontId="9" fillId="16" borderId="13" xfId="4" applyNumberFormat="1" applyFont="1" applyFill="1" applyBorder="1" applyProtection="1">
      <protection hidden="1"/>
    </xf>
    <xf numFmtId="38" fontId="9" fillId="10" borderId="13" xfId="4" applyNumberFormat="1" applyFont="1" applyFill="1" applyBorder="1" applyProtection="1">
      <protection hidden="1"/>
    </xf>
    <xf numFmtId="38" fontId="9" fillId="13" borderId="13" xfId="1" applyNumberFormat="1" applyFont="1" applyFill="1" applyBorder="1" applyProtection="1">
      <protection hidden="1"/>
    </xf>
    <xf numFmtId="38" fontId="9" fillId="15" borderId="13" xfId="4" applyNumberFormat="1" applyFont="1" applyFill="1" applyBorder="1" applyProtection="1">
      <protection hidden="1"/>
    </xf>
    <xf numFmtId="38" fontId="9" fillId="14" borderId="14" xfId="1" applyNumberFormat="1" applyFont="1" applyFill="1" applyBorder="1" applyProtection="1">
      <protection hidden="1"/>
    </xf>
    <xf numFmtId="38" fontId="9" fillId="5" borderId="13" xfId="1" applyNumberFormat="1" applyFont="1" applyFill="1" applyBorder="1" applyProtection="1">
      <protection hidden="1"/>
    </xf>
    <xf numFmtId="38" fontId="9" fillId="7" borderId="13" xfId="1" applyNumberFormat="1" applyFont="1" applyFill="1" applyBorder="1" applyProtection="1">
      <protection hidden="1"/>
    </xf>
    <xf numFmtId="38" fontId="10" fillId="3" borderId="14" xfId="0" applyNumberFormat="1" applyFont="1" applyFill="1" applyBorder="1" applyProtection="1">
      <protection hidden="1"/>
    </xf>
    <xf numFmtId="38" fontId="9" fillId="8" borderId="13" xfId="1" applyNumberFormat="1" applyFont="1" applyFill="1" applyBorder="1" applyProtection="1">
      <protection hidden="1"/>
    </xf>
    <xf numFmtId="38" fontId="9" fillId="4" borderId="14" xfId="1" applyNumberFormat="1" applyFont="1" applyFill="1" applyBorder="1" applyProtection="1">
      <protection hidden="1"/>
    </xf>
    <xf numFmtId="38" fontId="9" fillId="4" borderId="13" xfId="1" applyNumberFormat="1" applyFont="1" applyFill="1" applyBorder="1" applyProtection="1">
      <protection hidden="1"/>
    </xf>
    <xf numFmtId="38" fontId="9" fillId="6" borderId="13" xfId="4" applyNumberFormat="1" applyFont="1" applyFill="1" applyBorder="1" applyProtection="1">
      <protection hidden="1"/>
    </xf>
    <xf numFmtId="0" fontId="26" fillId="18" borderId="14" xfId="0" applyFont="1" applyFill="1" applyBorder="1" applyAlignment="1" applyProtection="1">
      <alignment horizontal="center" vertical="center"/>
      <protection hidden="1"/>
    </xf>
    <xf numFmtId="0" fontId="26" fillId="19" borderId="6" xfId="0" applyFont="1" applyFill="1" applyBorder="1" applyAlignment="1" applyProtection="1">
      <alignment horizontal="center" vertical="center"/>
      <protection hidden="1"/>
    </xf>
    <xf numFmtId="0" fontId="26" fillId="19" borderId="9" xfId="0" applyFont="1" applyFill="1" applyBorder="1" applyAlignment="1" applyProtection="1">
      <alignment horizontal="center" vertical="center"/>
      <protection hidden="1"/>
    </xf>
    <xf numFmtId="0" fontId="26" fillId="18" borderId="4" xfId="0" applyFont="1" applyFill="1" applyBorder="1" applyAlignment="1" applyProtection="1">
      <alignment horizontal="center" vertical="center"/>
      <protection hidden="1"/>
    </xf>
    <xf numFmtId="38" fontId="26" fillId="18" borderId="8" xfId="5" applyNumberFormat="1" applyFont="1" applyFill="1" applyBorder="1" applyAlignment="1" applyProtection="1">
      <alignment horizontal="center" vertical="center"/>
      <protection hidden="1"/>
    </xf>
    <xf numFmtId="0" fontId="26" fillId="19" borderId="7" xfId="0" applyFont="1" applyFill="1" applyBorder="1" applyAlignment="1" applyProtection="1">
      <alignment horizontal="center" vertical="center"/>
      <protection hidden="1"/>
    </xf>
    <xf numFmtId="0" fontId="26" fillId="19" borderId="2" xfId="0" applyFont="1" applyFill="1" applyBorder="1" applyAlignment="1" applyProtection="1">
      <alignment horizontal="center" vertical="center"/>
      <protection hidden="1"/>
    </xf>
    <xf numFmtId="0" fontId="26" fillId="18" borderId="8" xfId="0" applyFont="1" applyFill="1" applyBorder="1" applyAlignment="1" applyProtection="1">
      <alignment horizontal="center" vertical="center"/>
      <protection hidden="1"/>
    </xf>
    <xf numFmtId="38" fontId="9" fillId="20" borderId="0" xfId="5" applyNumberFormat="1" applyFont="1" applyFill="1" applyAlignment="1" applyProtection="1">
      <alignment horizontal="left" indent="1"/>
      <protection hidden="1"/>
    </xf>
    <xf numFmtId="38" fontId="9" fillId="20" borderId="0" xfId="5" applyNumberFormat="1" applyFont="1" applyFill="1" applyAlignment="1" applyProtection="1">
      <alignment horizontal="left"/>
      <protection hidden="1"/>
    </xf>
    <xf numFmtId="0" fontId="26" fillId="9" borderId="6" xfId="0" applyFont="1" applyFill="1" applyBorder="1" applyAlignment="1" applyProtection="1">
      <alignment horizontal="center" vertical="center"/>
      <protection hidden="1"/>
    </xf>
    <xf numFmtId="0" fontId="26" fillId="9" borderId="4" xfId="0" applyFont="1" applyFill="1" applyBorder="1" applyAlignment="1" applyProtection="1">
      <alignment horizontal="center" vertical="center"/>
      <protection hidden="1"/>
    </xf>
    <xf numFmtId="38" fontId="26" fillId="9" borderId="7" xfId="5" applyNumberFormat="1" applyFont="1" applyFill="1" applyBorder="1" applyAlignment="1" applyProtection="1">
      <alignment horizontal="center" vertical="center"/>
      <protection hidden="1"/>
    </xf>
    <xf numFmtId="38" fontId="26" fillId="9" borderId="8" xfId="5" applyNumberFormat="1" applyFont="1" applyFill="1" applyBorder="1" applyAlignment="1" applyProtection="1">
      <alignment horizontal="center" vertical="center"/>
      <protection hidden="1"/>
    </xf>
    <xf numFmtId="0" fontId="26" fillId="9" borderId="7" xfId="0" applyFont="1" applyFill="1" applyBorder="1" applyAlignment="1" applyProtection="1">
      <alignment horizontal="center" vertical="center"/>
      <protection hidden="1"/>
    </xf>
    <xf numFmtId="0" fontId="26" fillId="9" borderId="8" xfId="0" applyFont="1" applyFill="1" applyBorder="1" applyAlignment="1" applyProtection="1">
      <alignment horizontal="center" vertical="center"/>
      <protection hidden="1"/>
    </xf>
    <xf numFmtId="0" fontId="13" fillId="20" borderId="0" xfId="5" applyFont="1" applyFill="1" applyProtection="1">
      <protection hidden="1"/>
    </xf>
    <xf numFmtId="0" fontId="13" fillId="20" borderId="0" xfId="10" applyFont="1" applyFill="1" applyAlignment="1" applyProtection="1">
      <alignment horizontal="center"/>
      <protection hidden="1"/>
    </xf>
    <xf numFmtId="0" fontId="18" fillId="20" borderId="0" xfId="5" applyFont="1" applyFill="1" applyAlignment="1" applyProtection="1">
      <alignment vertical="center"/>
      <protection hidden="1"/>
    </xf>
    <xf numFmtId="165" fontId="13" fillId="20" borderId="0" xfId="0" applyNumberFormat="1" applyFont="1" applyFill="1" applyProtection="1">
      <protection hidden="1"/>
    </xf>
    <xf numFmtId="9" fontId="10" fillId="19" borderId="21" xfId="13" applyFont="1" applyFill="1" applyBorder="1" applyAlignment="1" applyProtection="1">
      <alignment horizontal="center"/>
      <protection hidden="1"/>
    </xf>
    <xf numFmtId="38" fontId="9" fillId="6" borderId="14" xfId="4" applyNumberFormat="1" applyFont="1" applyFill="1" applyBorder="1" applyProtection="1">
      <protection hidden="1"/>
    </xf>
    <xf numFmtId="38" fontId="9" fillId="16" borderId="14" xfId="4" applyNumberFormat="1" applyFont="1" applyFill="1" applyBorder="1" applyProtection="1">
      <protection hidden="1"/>
    </xf>
    <xf numFmtId="38" fontId="9" fillId="15" borderId="14" xfId="4" applyNumberFormat="1" applyFont="1" applyFill="1" applyBorder="1" applyProtection="1">
      <protection hidden="1"/>
    </xf>
    <xf numFmtId="38" fontId="9" fillId="13" borderId="14" xfId="1" applyNumberFormat="1" applyFont="1" applyFill="1" applyBorder="1" applyProtection="1">
      <protection hidden="1"/>
    </xf>
    <xf numFmtId="38" fontId="9" fillId="11" borderId="14" xfId="1" applyNumberFormat="1" applyFont="1" applyFill="1" applyBorder="1" applyProtection="1">
      <protection hidden="1"/>
    </xf>
    <xf numFmtId="38" fontId="9" fillId="12" borderId="14" xfId="1" applyNumberFormat="1" applyFont="1" applyFill="1" applyBorder="1" applyProtection="1">
      <protection hidden="1"/>
    </xf>
    <xf numFmtId="38" fontId="9" fillId="7" borderId="14" xfId="1" applyNumberFormat="1" applyFont="1" applyFill="1" applyBorder="1" applyProtection="1">
      <protection hidden="1"/>
    </xf>
    <xf numFmtId="38" fontId="9" fillId="8" borderId="14" xfId="1" applyNumberFormat="1" applyFont="1" applyFill="1" applyBorder="1" applyProtection="1">
      <protection hidden="1"/>
    </xf>
    <xf numFmtId="38" fontId="9" fillId="17" borderId="0" xfId="5" applyNumberFormat="1" applyFont="1" applyFill="1" applyAlignment="1" applyProtection="1">
      <alignment horizontal="left" indent="1"/>
      <protection hidden="1"/>
    </xf>
    <xf numFmtId="9" fontId="10" fillId="19" borderId="21" xfId="13" applyFont="1" applyFill="1" applyBorder="1" applyAlignment="1" applyProtection="1">
      <alignment horizontal="center" vertical="center"/>
      <protection hidden="1"/>
    </xf>
    <xf numFmtId="165" fontId="13" fillId="17" borderId="0" xfId="0" applyNumberFormat="1" applyFont="1" applyFill="1" applyProtection="1">
      <protection hidden="1"/>
    </xf>
    <xf numFmtId="0" fontId="13" fillId="17" borderId="0" xfId="10" applyFont="1" applyFill="1" applyAlignment="1" applyProtection="1">
      <alignment horizontal="center"/>
      <protection hidden="1"/>
    </xf>
    <xf numFmtId="38" fontId="9" fillId="11" borderId="1" xfId="1" applyNumberFormat="1" applyFont="1" applyFill="1" applyBorder="1" applyProtection="1">
      <protection hidden="1"/>
    </xf>
    <xf numFmtId="38" fontId="9" fillId="12" borderId="1" xfId="1" applyNumberFormat="1" applyFont="1" applyFill="1" applyBorder="1" applyProtection="1">
      <protection hidden="1"/>
    </xf>
    <xf numFmtId="165" fontId="31" fillId="20" borderId="3" xfId="0" applyNumberFormat="1" applyFont="1" applyFill="1" applyBorder="1" applyAlignment="1" applyProtection="1">
      <alignment horizontal="left"/>
      <protection hidden="1"/>
    </xf>
    <xf numFmtId="165" fontId="31" fillId="20" borderId="3" xfId="0" applyNumberFormat="1" applyFont="1" applyFill="1" applyBorder="1" applyAlignment="1" applyProtection="1">
      <alignment horizontal="left" vertical="center" indent="1"/>
      <protection hidden="1"/>
    </xf>
    <xf numFmtId="165" fontId="82" fillId="20" borderId="3" xfId="0" applyNumberFormat="1" applyFont="1" applyFill="1" applyBorder="1" applyAlignment="1" applyProtection="1">
      <alignment horizontal="left" indent="1"/>
      <protection hidden="1"/>
    </xf>
    <xf numFmtId="165" fontId="13" fillId="20" borderId="3" xfId="0" applyNumberFormat="1" applyFont="1" applyFill="1" applyBorder="1" applyAlignment="1" applyProtection="1">
      <alignment horizontal="left"/>
      <protection hidden="1"/>
    </xf>
    <xf numFmtId="0" fontId="18" fillId="20" borderId="7" xfId="5" applyFont="1" applyFill="1" applyBorder="1" applyAlignment="1" applyProtection="1">
      <alignment horizontal="left" vertical="center"/>
      <protection hidden="1"/>
    </xf>
    <xf numFmtId="165" fontId="82" fillId="20" borderId="6" xfId="0" applyNumberFormat="1" applyFont="1" applyFill="1" applyBorder="1" applyAlignment="1" applyProtection="1">
      <alignment horizontal="left" indent="1"/>
      <protection hidden="1"/>
    </xf>
    <xf numFmtId="0" fontId="13" fillId="20" borderId="3" xfId="5" applyFont="1" applyFill="1" applyBorder="1" applyAlignment="1" applyProtection="1">
      <alignment horizontal="left"/>
      <protection hidden="1"/>
    </xf>
    <xf numFmtId="38" fontId="9" fillId="17" borderId="0" xfId="5" applyNumberFormat="1" applyFont="1" applyFill="1" applyAlignment="1" applyProtection="1">
      <alignment horizontal="left"/>
      <protection hidden="1"/>
    </xf>
    <xf numFmtId="38" fontId="9" fillId="17" borderId="0" xfId="5" applyNumberFormat="1" applyFont="1" applyFill="1" applyProtection="1">
      <protection hidden="1"/>
    </xf>
    <xf numFmtId="38" fontId="26" fillId="19" borderId="7" xfId="5" applyNumberFormat="1" applyFont="1" applyFill="1" applyBorder="1" applyAlignment="1" applyProtection="1">
      <alignment horizontal="center" vertical="center"/>
      <protection hidden="1"/>
    </xf>
    <xf numFmtId="38" fontId="26" fillId="19" borderId="2" xfId="5" applyNumberFormat="1" applyFont="1" applyFill="1" applyBorder="1" applyAlignment="1" applyProtection="1">
      <alignment horizontal="center" vertical="center"/>
      <protection hidden="1"/>
    </xf>
    <xf numFmtId="38" fontId="9" fillId="17" borderId="0" xfId="7" applyNumberFormat="1" applyFont="1" applyFill="1" applyAlignment="1" applyProtection="1">
      <alignment horizontal="left" indent="2"/>
      <protection hidden="1"/>
    </xf>
    <xf numFmtId="38" fontId="9" fillId="17" borderId="0" xfId="5" applyNumberFormat="1" applyFont="1" applyFill="1" applyAlignment="1" applyProtection="1">
      <alignment horizontal="center"/>
      <protection hidden="1"/>
    </xf>
    <xf numFmtId="38" fontId="9" fillId="17" borderId="0" xfId="5" applyNumberFormat="1" applyFont="1" applyFill="1" applyAlignment="1" applyProtection="1">
      <alignment vertical="center"/>
      <protection hidden="1"/>
    </xf>
    <xf numFmtId="38" fontId="9" fillId="17" borderId="0" xfId="7" applyNumberFormat="1" applyFont="1" applyFill="1" applyAlignment="1" applyProtection="1">
      <alignment horizontal="left" indent="1"/>
      <protection hidden="1"/>
    </xf>
    <xf numFmtId="0" fontId="8" fillId="17" borderId="0" xfId="0" applyFont="1" applyFill="1" applyAlignment="1" applyProtection="1">
      <alignment vertical="center"/>
      <protection hidden="1"/>
    </xf>
    <xf numFmtId="167" fontId="8" fillId="17" borderId="0" xfId="11" applyNumberFormat="1" applyFont="1" applyFill="1" applyProtection="1">
      <protection hidden="1"/>
    </xf>
    <xf numFmtId="0" fontId="8" fillId="17" borderId="0" xfId="0" applyFont="1" applyFill="1" applyAlignment="1" applyProtection="1">
      <alignment horizontal="right" vertical="center"/>
      <protection hidden="1"/>
    </xf>
    <xf numFmtId="0" fontId="42" fillId="17" borderId="0" xfId="5" applyFont="1" applyFill="1" applyAlignment="1" applyProtection="1">
      <alignment horizontal="center"/>
      <protection hidden="1"/>
    </xf>
    <xf numFmtId="38" fontId="43" fillId="17" borderId="0" xfId="0" applyNumberFormat="1" applyFont="1" applyFill="1" applyProtection="1">
      <protection hidden="1"/>
    </xf>
    <xf numFmtId="38" fontId="42" fillId="17" borderId="0" xfId="5" applyNumberFormat="1" applyFont="1" applyFill="1" applyProtection="1">
      <protection hidden="1"/>
    </xf>
    <xf numFmtId="38" fontId="43" fillId="17" borderId="0" xfId="0" applyNumberFormat="1" applyFont="1" applyFill="1" applyAlignment="1" applyProtection="1">
      <alignment horizontal="center"/>
      <protection hidden="1"/>
    </xf>
    <xf numFmtId="38" fontId="43" fillId="17" borderId="0" xfId="0" applyNumberFormat="1" applyFont="1" applyFill="1" applyAlignment="1" applyProtection="1">
      <alignment horizontal="left"/>
      <protection hidden="1"/>
    </xf>
    <xf numFmtId="38" fontId="41" fillId="17" borderId="0" xfId="1" applyNumberFormat="1" applyFont="1" applyFill="1" applyAlignment="1" applyProtection="1">
      <alignment horizontal="center"/>
      <protection hidden="1"/>
    </xf>
    <xf numFmtId="38" fontId="72" fillId="17" borderId="0" xfId="5" applyNumberFormat="1" applyFont="1" applyFill="1" applyProtection="1">
      <protection hidden="1"/>
    </xf>
    <xf numFmtId="38" fontId="44" fillId="17" borderId="0" xfId="5" applyNumberFormat="1" applyFont="1" applyFill="1" applyProtection="1">
      <protection hidden="1"/>
    </xf>
    <xf numFmtId="38" fontId="44" fillId="17" borderId="0" xfId="5" applyNumberFormat="1" applyFont="1" applyFill="1" applyAlignment="1" applyProtection="1">
      <alignment horizontal="center"/>
      <protection hidden="1"/>
    </xf>
    <xf numFmtId="38" fontId="44" fillId="17" borderId="0" xfId="5" applyNumberFormat="1" applyFont="1" applyFill="1" applyAlignment="1" applyProtection="1">
      <alignment horizontal="left"/>
      <protection hidden="1"/>
    </xf>
    <xf numFmtId="38" fontId="41" fillId="17" borderId="0" xfId="5" applyNumberFormat="1" applyFont="1" applyFill="1" applyAlignment="1" applyProtection="1">
      <alignment horizontal="center"/>
      <protection hidden="1"/>
    </xf>
    <xf numFmtId="38" fontId="13" fillId="17" borderId="0" xfId="1" applyNumberFormat="1" applyFont="1" applyFill="1" applyAlignment="1" applyProtection="1">
      <alignment horizontal="center"/>
      <protection hidden="1"/>
    </xf>
    <xf numFmtId="38" fontId="13" fillId="17" borderId="0" xfId="4" applyNumberFormat="1" applyFont="1" applyFill="1" applyAlignment="1" applyProtection="1">
      <alignment horizontal="left" indent="1"/>
      <protection hidden="1"/>
    </xf>
    <xf numFmtId="38" fontId="13" fillId="17" borderId="0" xfId="4" applyNumberFormat="1" applyFont="1" applyFill="1" applyProtection="1">
      <protection hidden="1"/>
    </xf>
    <xf numFmtId="38" fontId="13" fillId="17" borderId="0" xfId="4" applyNumberFormat="1" applyFont="1" applyFill="1" applyAlignment="1" applyProtection="1">
      <alignment horizontal="left"/>
      <protection hidden="1"/>
    </xf>
    <xf numFmtId="38" fontId="13" fillId="17" borderId="0" xfId="1" applyNumberFormat="1" applyFont="1" applyFill="1" applyAlignment="1" applyProtection="1">
      <alignment horizontal="left"/>
      <protection hidden="1"/>
    </xf>
    <xf numFmtId="38" fontId="26" fillId="17" borderId="0" xfId="4" applyNumberFormat="1" applyFont="1" applyFill="1" applyProtection="1">
      <protection hidden="1"/>
    </xf>
    <xf numFmtId="38" fontId="13" fillId="17" borderId="0" xfId="1" applyNumberFormat="1" applyFont="1" applyFill="1" applyAlignment="1" applyProtection="1">
      <alignment horizontal="right" indent="1"/>
      <protection hidden="1"/>
    </xf>
    <xf numFmtId="38" fontId="13" fillId="17" borderId="0" xfId="1" applyNumberFormat="1" applyFont="1" applyFill="1" applyAlignment="1" applyProtection="1">
      <alignment horizontal="right"/>
      <protection hidden="1"/>
    </xf>
    <xf numFmtId="38" fontId="13" fillId="17" borderId="0" xfId="1" applyNumberFormat="1" applyFont="1" applyFill="1" applyProtection="1">
      <protection hidden="1"/>
    </xf>
    <xf numFmtId="38" fontId="14" fillId="17" borderId="0" xfId="4" applyNumberFormat="1" applyFont="1" applyFill="1" applyProtection="1">
      <protection hidden="1"/>
    </xf>
    <xf numFmtId="38" fontId="15" fillId="17" borderId="0" xfId="0" applyNumberFormat="1" applyFont="1" applyFill="1" applyProtection="1">
      <protection hidden="1"/>
    </xf>
    <xf numFmtId="38" fontId="82" fillId="17" borderId="0" xfId="1" applyNumberFormat="1" applyFont="1" applyFill="1" applyAlignment="1" applyProtection="1">
      <alignment horizontal="center"/>
      <protection hidden="1"/>
    </xf>
    <xf numFmtId="38" fontId="82" fillId="17" borderId="0" xfId="1" applyNumberFormat="1" applyFont="1" applyFill="1" applyAlignment="1" applyProtection="1">
      <alignment horizontal="left"/>
      <protection hidden="1"/>
    </xf>
    <xf numFmtId="38" fontId="11" fillId="17" borderId="0" xfId="5" applyNumberFormat="1" applyFont="1" applyFill="1" applyAlignment="1" applyProtection="1">
      <alignment vertical="center"/>
      <protection hidden="1"/>
    </xf>
    <xf numFmtId="38" fontId="83" fillId="17" borderId="0" xfId="5" applyNumberFormat="1" applyFont="1" applyFill="1" applyAlignment="1" applyProtection="1">
      <alignment vertical="center"/>
      <protection hidden="1"/>
    </xf>
    <xf numFmtId="170" fontId="82" fillId="17" borderId="0" xfId="5" applyNumberFormat="1" applyFont="1" applyFill="1" applyAlignment="1" applyProtection="1">
      <alignment horizontal="center"/>
      <protection hidden="1"/>
    </xf>
    <xf numFmtId="38" fontId="82" fillId="17" borderId="0" xfId="4" applyNumberFormat="1" applyFont="1" applyFill="1" applyAlignment="1" applyProtection="1">
      <alignment horizontal="left"/>
      <protection hidden="1"/>
    </xf>
    <xf numFmtId="38" fontId="11" fillId="17" borderId="0" xfId="5" applyNumberFormat="1" applyFont="1" applyFill="1" applyAlignment="1" applyProtection="1">
      <alignment horizontal="left"/>
      <protection hidden="1"/>
    </xf>
    <xf numFmtId="0" fontId="9" fillId="17" borderId="0" xfId="0" applyFont="1" applyFill="1" applyProtection="1">
      <protection hidden="1"/>
    </xf>
    <xf numFmtId="0" fontId="18" fillId="17" borderId="0" xfId="0" applyFont="1" applyFill="1" applyProtection="1">
      <protection hidden="1"/>
    </xf>
    <xf numFmtId="38" fontId="11" fillId="17" borderId="0" xfId="1" applyNumberFormat="1" applyFont="1" applyFill="1" applyAlignment="1" applyProtection="1">
      <alignment horizontal="center"/>
      <protection hidden="1"/>
    </xf>
    <xf numFmtId="38" fontId="11" fillId="17" borderId="0" xfId="7" applyNumberFormat="1" applyFont="1" applyFill="1" applyAlignment="1" applyProtection="1">
      <alignment horizontal="center"/>
      <protection hidden="1"/>
    </xf>
    <xf numFmtId="38" fontId="11" fillId="17" borderId="0" xfId="1" applyNumberFormat="1" applyFont="1" applyFill="1" applyAlignment="1" applyProtection="1">
      <alignment horizontal="left"/>
      <protection hidden="1"/>
    </xf>
    <xf numFmtId="170" fontId="11" fillId="17" borderId="0" xfId="5" applyNumberFormat="1" applyFont="1" applyFill="1" applyAlignment="1" applyProtection="1">
      <alignment horizontal="center"/>
      <protection hidden="1"/>
    </xf>
    <xf numFmtId="170" fontId="11" fillId="17" borderId="0" xfId="5" applyNumberFormat="1" applyFont="1" applyFill="1" applyAlignment="1" applyProtection="1">
      <alignment horizontal="left" indent="1"/>
      <protection hidden="1"/>
    </xf>
    <xf numFmtId="170" fontId="11" fillId="17" borderId="0" xfId="5" applyNumberFormat="1" applyFont="1" applyFill="1" applyProtection="1">
      <protection hidden="1"/>
    </xf>
    <xf numFmtId="38" fontId="11" fillId="17" borderId="0" xfId="4" applyNumberFormat="1" applyFont="1" applyFill="1" applyAlignment="1" applyProtection="1">
      <alignment horizontal="left"/>
      <protection hidden="1"/>
    </xf>
    <xf numFmtId="38" fontId="11" fillId="17" borderId="0" xfId="5" applyNumberFormat="1" applyFont="1" applyFill="1" applyProtection="1">
      <protection hidden="1"/>
    </xf>
    <xf numFmtId="38" fontId="9" fillId="17" borderId="0" xfId="1" applyNumberFormat="1" applyFont="1" applyFill="1" applyAlignment="1" applyProtection="1">
      <alignment horizontal="center"/>
      <protection hidden="1"/>
    </xf>
    <xf numFmtId="0" fontId="9" fillId="17" borderId="0" xfId="0" applyFont="1" applyFill="1" applyAlignment="1" applyProtection="1">
      <alignment horizontal="left" indent="1"/>
      <protection hidden="1"/>
    </xf>
    <xf numFmtId="38" fontId="9" fillId="17" borderId="0" xfId="1" applyNumberFormat="1" applyFont="1" applyFill="1" applyAlignment="1" applyProtection="1">
      <alignment horizontal="left"/>
      <protection hidden="1"/>
    </xf>
    <xf numFmtId="38" fontId="9" fillId="17" borderId="0" xfId="0" applyNumberFormat="1" applyFont="1" applyFill="1" applyAlignment="1" applyProtection="1">
      <alignment vertical="top"/>
      <protection hidden="1"/>
    </xf>
    <xf numFmtId="38" fontId="9" fillId="17" borderId="0" xfId="7" applyNumberFormat="1" applyFont="1" applyFill="1" applyProtection="1">
      <protection hidden="1"/>
    </xf>
    <xf numFmtId="38" fontId="9" fillId="17" borderId="0" xfId="0" applyNumberFormat="1" applyFont="1" applyFill="1" applyAlignment="1" applyProtection="1">
      <alignment horizontal="left" vertical="center"/>
      <protection hidden="1"/>
    </xf>
    <xf numFmtId="38" fontId="9" fillId="17" borderId="0" xfId="7" applyNumberFormat="1" applyFont="1" applyFill="1" applyAlignment="1" applyProtection="1">
      <alignment horizontal="center"/>
      <protection hidden="1"/>
    </xf>
    <xf numFmtId="38" fontId="9" fillId="17" borderId="0" xfId="0" applyNumberFormat="1" applyFont="1" applyFill="1" applyProtection="1">
      <protection hidden="1"/>
    </xf>
    <xf numFmtId="0" fontId="9" fillId="17" borderId="0" xfId="0" applyFont="1" applyFill="1" applyAlignment="1" applyProtection="1">
      <alignment horizontal="left"/>
      <protection hidden="1"/>
    </xf>
    <xf numFmtId="0" fontId="9" fillId="17" borderId="0" xfId="5" applyFont="1" applyFill="1" applyAlignment="1" applyProtection="1">
      <alignment horizontal="left" vertical="center"/>
      <protection hidden="1"/>
    </xf>
    <xf numFmtId="0" fontId="79" fillId="17" borderId="0" xfId="0" quotePrefix="1" applyFont="1" applyFill="1" applyAlignment="1" applyProtection="1">
      <alignment horizontal="left"/>
      <protection hidden="1"/>
    </xf>
    <xf numFmtId="0" fontId="9" fillId="17" borderId="12" xfId="0" applyFont="1" applyFill="1" applyBorder="1" applyAlignment="1" applyProtection="1">
      <alignment horizontal="left"/>
      <protection hidden="1"/>
    </xf>
    <xf numFmtId="38" fontId="9" fillId="17" borderId="0" xfId="1" applyNumberFormat="1" applyFont="1" applyFill="1" applyAlignment="1" applyProtection="1">
      <alignment horizontal="center" vertical="center"/>
      <protection hidden="1"/>
    </xf>
    <xf numFmtId="0" fontId="79" fillId="17" borderId="0" xfId="0" applyFont="1" applyFill="1" applyAlignment="1" applyProtection="1">
      <alignment horizontal="left"/>
      <protection hidden="1"/>
    </xf>
    <xf numFmtId="38" fontId="82" fillId="17" borderId="0" xfId="5" applyNumberFormat="1" applyFont="1" applyFill="1" applyAlignment="1" applyProtection="1">
      <alignment vertical="center"/>
      <protection hidden="1"/>
    </xf>
    <xf numFmtId="38" fontId="82" fillId="17" borderId="0" xfId="5" applyNumberFormat="1" applyFont="1" applyFill="1" applyAlignment="1" applyProtection="1">
      <alignment horizontal="center" vertical="center"/>
      <protection hidden="1"/>
    </xf>
    <xf numFmtId="38" fontId="9" fillId="17" borderId="0" xfId="7" applyNumberFormat="1" applyFont="1" applyFill="1" applyAlignment="1" applyProtection="1">
      <alignment horizontal="left"/>
      <protection hidden="1"/>
    </xf>
    <xf numFmtId="38" fontId="18" fillId="17" borderId="0" xfId="7" applyNumberFormat="1" applyFont="1" applyFill="1" applyAlignment="1" applyProtection="1">
      <alignment horizontal="center"/>
      <protection hidden="1"/>
    </xf>
    <xf numFmtId="38" fontId="18" fillId="17" borderId="0" xfId="7" applyNumberFormat="1" applyFont="1" applyFill="1" applyAlignment="1" applyProtection="1">
      <alignment horizontal="left"/>
      <protection hidden="1"/>
    </xf>
    <xf numFmtId="38" fontId="9" fillId="17" borderId="0" xfId="7" applyNumberFormat="1" applyFont="1" applyFill="1" applyAlignment="1" applyProtection="1">
      <alignment horizontal="right" indent="1"/>
      <protection hidden="1"/>
    </xf>
    <xf numFmtId="38" fontId="18" fillId="20" borderId="3" xfId="5" applyNumberFormat="1" applyFont="1" applyFill="1" applyBorder="1" applyAlignment="1" applyProtection="1">
      <alignment horizontal="left" indent="1"/>
      <protection hidden="1"/>
    </xf>
    <xf numFmtId="38" fontId="9" fillId="20" borderId="18" xfId="5" applyNumberFormat="1" applyFont="1" applyFill="1" applyBorder="1" applyAlignment="1" applyProtection="1">
      <alignment horizontal="left" indent="1"/>
      <protection hidden="1"/>
    </xf>
    <xf numFmtId="38" fontId="9" fillId="20" borderId="12" xfId="5" applyNumberFormat="1" applyFont="1" applyFill="1" applyBorder="1" applyAlignment="1" applyProtection="1">
      <alignment horizontal="left" indent="1"/>
      <protection hidden="1"/>
    </xf>
    <xf numFmtId="38" fontId="9" fillId="20" borderId="12" xfId="5" applyNumberFormat="1" applyFont="1" applyFill="1" applyBorder="1" applyAlignment="1" applyProtection="1">
      <alignment horizontal="left" vertical="center" indent="1"/>
      <protection hidden="1"/>
    </xf>
    <xf numFmtId="38" fontId="18" fillId="20" borderId="3" xfId="7" applyNumberFormat="1" applyFont="1" applyFill="1" applyBorder="1" applyAlignment="1" applyProtection="1">
      <alignment horizontal="left" vertical="center" indent="1"/>
      <protection hidden="1"/>
    </xf>
    <xf numFmtId="38" fontId="9" fillId="20" borderId="0" xfId="7" applyNumberFormat="1" applyFont="1" applyFill="1" applyAlignment="1" applyProtection="1">
      <alignment horizontal="left" vertical="center" indent="1"/>
      <protection hidden="1"/>
    </xf>
    <xf numFmtId="38" fontId="9" fillId="20" borderId="0" xfId="5" applyNumberFormat="1" applyFont="1" applyFill="1" applyAlignment="1" applyProtection="1">
      <alignment horizontal="left" vertical="center" indent="1"/>
      <protection hidden="1"/>
    </xf>
    <xf numFmtId="38" fontId="9" fillId="20" borderId="3" xfId="5" applyNumberFormat="1" applyFont="1" applyFill="1" applyBorder="1" applyAlignment="1" applyProtection="1">
      <alignment horizontal="left" vertical="center" indent="1"/>
      <protection hidden="1"/>
    </xf>
    <xf numFmtId="38" fontId="9" fillId="20" borderId="0" xfId="7" applyNumberFormat="1" applyFont="1" applyFill="1" applyAlignment="1" applyProtection="1">
      <alignment horizontal="left" indent="1"/>
      <protection hidden="1"/>
    </xf>
    <xf numFmtId="38" fontId="9" fillId="20" borderId="7" xfId="7" applyNumberFormat="1" applyFont="1" applyFill="1" applyBorder="1" applyAlignment="1" applyProtection="1">
      <alignment horizontal="left" indent="1"/>
      <protection hidden="1"/>
    </xf>
    <xf numFmtId="38" fontId="9" fillId="20" borderId="2" xfId="7" applyNumberFormat="1" applyFont="1" applyFill="1" applyBorder="1" applyAlignment="1" applyProtection="1">
      <alignment horizontal="left" indent="1"/>
      <protection hidden="1"/>
    </xf>
    <xf numFmtId="38" fontId="9" fillId="20" borderId="2" xfId="5" applyNumberFormat="1" applyFont="1" applyFill="1" applyBorder="1" applyProtection="1">
      <protection hidden="1"/>
    </xf>
    <xf numFmtId="38" fontId="9" fillId="17" borderId="0" xfId="1" applyNumberFormat="1" applyFont="1" applyFill="1" applyProtection="1">
      <protection hidden="1"/>
    </xf>
    <xf numFmtId="38" fontId="9" fillId="17" borderId="0" xfId="1" applyNumberFormat="1" applyFont="1" applyFill="1" applyAlignment="1" applyProtection="1">
      <alignment horizontal="right"/>
      <protection hidden="1"/>
    </xf>
    <xf numFmtId="38" fontId="9" fillId="17" borderId="0" xfId="4" applyNumberFormat="1" applyFont="1" applyFill="1" applyAlignment="1" applyProtection="1">
      <alignment horizontal="right"/>
      <protection hidden="1"/>
    </xf>
    <xf numFmtId="38" fontId="9" fillId="17" borderId="0" xfId="4" applyNumberFormat="1" applyFont="1" applyFill="1" applyAlignment="1" applyProtection="1">
      <alignment horizontal="left"/>
      <protection hidden="1"/>
    </xf>
    <xf numFmtId="38" fontId="9" fillId="17" borderId="0" xfId="4" applyNumberFormat="1" applyFont="1" applyFill="1" applyProtection="1">
      <protection hidden="1"/>
    </xf>
    <xf numFmtId="38" fontId="8" fillId="17" borderId="0" xfId="4" applyNumberFormat="1" applyFont="1" applyFill="1" applyProtection="1">
      <protection hidden="1"/>
    </xf>
    <xf numFmtId="38" fontId="9" fillId="17" borderId="0" xfId="1" applyNumberFormat="1" applyFont="1" applyFill="1" applyAlignment="1" applyProtection="1">
      <alignment horizontal="left" indent="1"/>
      <protection hidden="1"/>
    </xf>
    <xf numFmtId="0" fontId="10" fillId="17" borderId="0" xfId="0" applyFont="1" applyFill="1" applyProtection="1">
      <protection hidden="1"/>
    </xf>
    <xf numFmtId="167" fontId="58" fillId="17" borderId="0" xfId="1" applyNumberFormat="1" applyFont="1" applyFill="1" applyProtection="1">
      <protection hidden="1"/>
    </xf>
    <xf numFmtId="38" fontId="0" fillId="17" borderId="0" xfId="0" applyNumberFormat="1" applyFill="1" applyProtection="1">
      <protection hidden="1"/>
    </xf>
    <xf numFmtId="38" fontId="0" fillId="17" borderId="0" xfId="0" applyNumberFormat="1" applyFill="1" applyAlignment="1" applyProtection="1">
      <alignment horizontal="right"/>
      <protection hidden="1"/>
    </xf>
    <xf numFmtId="38" fontId="19" fillId="17" borderId="0" xfId="0" applyNumberFormat="1" applyFont="1" applyFill="1" applyProtection="1">
      <protection hidden="1"/>
    </xf>
    <xf numFmtId="38" fontId="13" fillId="17" borderId="0" xfId="1" applyNumberFormat="1" applyFont="1" applyFill="1" applyAlignment="1" applyProtection="1">
      <alignment horizontal="left" indent="1"/>
      <protection hidden="1"/>
    </xf>
    <xf numFmtId="0" fontId="0" fillId="17" borderId="0" xfId="0" applyFill="1" applyProtection="1">
      <protection hidden="1"/>
    </xf>
    <xf numFmtId="38" fontId="13" fillId="17" borderId="0" xfId="1" applyNumberFormat="1" applyFont="1" applyFill="1" applyAlignment="1" applyProtection="1">
      <alignment horizontal="center" vertical="center"/>
      <protection hidden="1"/>
    </xf>
    <xf numFmtId="38" fontId="13" fillId="17" borderId="0" xfId="1" applyNumberFormat="1" applyFont="1" applyFill="1" applyAlignment="1" applyProtection="1">
      <alignment vertical="center"/>
      <protection hidden="1"/>
    </xf>
    <xf numFmtId="38" fontId="13" fillId="17" borderId="0" xfId="1" applyNumberFormat="1" applyFont="1" applyFill="1" applyAlignment="1" applyProtection="1">
      <alignment horizontal="right" vertical="center"/>
      <protection hidden="1"/>
    </xf>
    <xf numFmtId="38" fontId="13" fillId="17" borderId="0" xfId="1" applyNumberFormat="1" applyFont="1" applyFill="1" applyAlignment="1" applyProtection="1">
      <alignment horizontal="left" vertical="center" indent="1"/>
      <protection hidden="1"/>
    </xf>
    <xf numFmtId="38" fontId="0" fillId="17" borderId="0" xfId="0" applyNumberFormat="1" applyFill="1" applyAlignment="1" applyProtection="1">
      <alignment vertical="center"/>
      <protection hidden="1"/>
    </xf>
    <xf numFmtId="9" fontId="1" fillId="17" borderId="0" xfId="8" applyFont="1" applyFill="1" applyAlignment="1" applyProtection="1">
      <alignment horizontal="right" vertical="center"/>
      <protection hidden="1"/>
    </xf>
    <xf numFmtId="38" fontId="8" fillId="17" borderId="0" xfId="1" applyNumberFormat="1" applyFont="1" applyFill="1" applyProtection="1">
      <protection hidden="1"/>
    </xf>
    <xf numFmtId="38" fontId="25" fillId="17" borderId="0" xfId="1" applyNumberFormat="1" applyFont="1" applyFill="1" applyProtection="1">
      <protection hidden="1"/>
    </xf>
    <xf numFmtId="38" fontId="10" fillId="17" borderId="0" xfId="0" applyNumberFormat="1" applyFont="1" applyFill="1" applyProtection="1">
      <protection hidden="1"/>
    </xf>
    <xf numFmtId="0" fontId="9" fillId="17" borderId="0" xfId="4" applyFont="1" applyFill="1" applyProtection="1">
      <protection hidden="1"/>
    </xf>
    <xf numFmtId="38" fontId="57" fillId="17" borderId="0" xfId="1" applyNumberFormat="1" applyFont="1" applyFill="1" applyProtection="1">
      <protection hidden="1"/>
    </xf>
    <xf numFmtId="38" fontId="55" fillId="17" borderId="0" xfId="1" applyNumberFormat="1" applyFont="1" applyFill="1" applyProtection="1">
      <protection hidden="1"/>
    </xf>
    <xf numFmtId="0" fontId="8" fillId="17" borderId="0" xfId="0" applyFont="1" applyFill="1" applyAlignment="1" applyProtection="1">
      <alignment horizontal="center" vertical="center"/>
      <protection hidden="1"/>
    </xf>
    <xf numFmtId="0" fontId="42" fillId="17" borderId="0" xfId="5" applyFont="1" applyFill="1" applyProtection="1">
      <protection hidden="1"/>
    </xf>
    <xf numFmtId="0" fontId="42" fillId="17" borderId="0" xfId="5" applyFont="1" applyFill="1" applyAlignment="1" applyProtection="1">
      <alignment horizontal="right"/>
      <protection hidden="1"/>
    </xf>
    <xf numFmtId="0" fontId="8" fillId="17" borderId="0" xfId="5" applyFont="1" applyFill="1" applyProtection="1">
      <protection hidden="1"/>
    </xf>
    <xf numFmtId="0" fontId="42" fillId="17" borderId="0" xfId="5" applyFont="1" applyFill="1" applyAlignment="1" applyProtection="1">
      <alignment horizontal="left" indent="1"/>
      <protection hidden="1"/>
    </xf>
    <xf numFmtId="38" fontId="41" fillId="17" borderId="0" xfId="1" applyNumberFormat="1" applyFont="1" applyFill="1" applyProtection="1">
      <protection hidden="1"/>
    </xf>
    <xf numFmtId="38" fontId="72" fillId="17" borderId="0" xfId="1" applyNumberFormat="1" applyFont="1" applyFill="1" applyProtection="1">
      <protection hidden="1"/>
    </xf>
    <xf numFmtId="38" fontId="41" fillId="17" borderId="0" xfId="1" applyNumberFormat="1" applyFont="1" applyFill="1" applyAlignment="1" applyProtection="1">
      <alignment horizontal="right"/>
      <protection hidden="1"/>
    </xf>
    <xf numFmtId="38" fontId="41" fillId="17" borderId="0" xfId="0" applyNumberFormat="1" applyFont="1" applyFill="1" applyProtection="1">
      <protection hidden="1"/>
    </xf>
    <xf numFmtId="38" fontId="41" fillId="17" borderId="0" xfId="0" applyNumberFormat="1" applyFont="1" applyFill="1" applyAlignment="1" applyProtection="1">
      <alignment horizontal="right"/>
      <protection hidden="1"/>
    </xf>
    <xf numFmtId="38" fontId="41" fillId="17" borderId="0" xfId="4" applyNumberFormat="1" applyFont="1" applyFill="1" applyProtection="1">
      <protection hidden="1"/>
    </xf>
    <xf numFmtId="172" fontId="9" fillId="17" borderId="0" xfId="8" applyNumberFormat="1" applyFont="1" applyFill="1" applyBorder="1" applyAlignment="1" applyProtection="1">
      <alignment horizontal="right" indent="1"/>
      <protection hidden="1"/>
    </xf>
    <xf numFmtId="38" fontId="41" fillId="17" borderId="0" xfId="1" applyNumberFormat="1" applyFont="1" applyFill="1" applyAlignment="1" applyProtection="1">
      <alignment horizontal="left" indent="1"/>
      <protection hidden="1"/>
    </xf>
    <xf numFmtId="38" fontId="13" fillId="17" borderId="0" xfId="4" applyNumberFormat="1" applyFont="1" applyFill="1" applyAlignment="1" applyProtection="1">
      <alignment horizontal="right"/>
      <protection hidden="1"/>
    </xf>
    <xf numFmtId="38" fontId="13" fillId="17" borderId="0" xfId="4" applyNumberFormat="1" applyFont="1" applyFill="1" applyAlignment="1" applyProtection="1">
      <alignment horizontal="right" indent="1"/>
      <protection hidden="1"/>
    </xf>
    <xf numFmtId="38" fontId="9" fillId="17" borderId="0" xfId="1" quotePrefix="1" applyNumberFormat="1" applyFont="1" applyFill="1" applyAlignment="1" applyProtection="1">
      <alignment vertical="center"/>
      <protection hidden="1"/>
    </xf>
    <xf numFmtId="38" fontId="8" fillId="17" borderId="0" xfId="1" applyNumberFormat="1" applyFont="1" applyFill="1" applyAlignment="1" applyProtection="1">
      <alignment horizontal="left"/>
      <protection hidden="1"/>
    </xf>
    <xf numFmtId="38" fontId="26" fillId="17" borderId="0" xfId="1" applyNumberFormat="1" applyFont="1" applyFill="1" applyAlignment="1" applyProtection="1">
      <alignment horizontal="center"/>
      <protection hidden="1"/>
    </xf>
    <xf numFmtId="38" fontId="26" fillId="17" borderId="0" xfId="1" applyNumberFormat="1" applyFont="1" applyFill="1" applyAlignment="1" applyProtection="1">
      <alignment horizontal="left"/>
      <protection hidden="1"/>
    </xf>
    <xf numFmtId="38" fontId="26" fillId="17" borderId="0" xfId="4" applyNumberFormat="1" applyFont="1" applyFill="1" applyAlignment="1" applyProtection="1">
      <alignment horizontal="right"/>
      <protection hidden="1"/>
    </xf>
    <xf numFmtId="38" fontId="26" fillId="17" borderId="0" xfId="1" applyNumberFormat="1" applyFont="1" applyFill="1" applyProtection="1">
      <protection hidden="1"/>
    </xf>
    <xf numFmtId="38" fontId="26" fillId="17" borderId="0" xfId="0" applyNumberFormat="1" applyFont="1" applyFill="1" applyProtection="1">
      <protection hidden="1"/>
    </xf>
    <xf numFmtId="38" fontId="26" fillId="17" borderId="0" xfId="1" applyNumberFormat="1" applyFont="1" applyFill="1" applyAlignment="1" applyProtection="1">
      <alignment horizontal="right"/>
      <protection hidden="1"/>
    </xf>
    <xf numFmtId="38" fontId="26" fillId="17" borderId="0" xfId="1" applyNumberFormat="1" applyFont="1" applyFill="1" applyAlignment="1" applyProtection="1">
      <alignment horizontal="left" indent="1"/>
      <protection hidden="1"/>
    </xf>
    <xf numFmtId="38" fontId="51" fillId="17" borderId="0" xfId="1" applyNumberFormat="1" applyFont="1" applyFill="1" applyAlignment="1" applyProtection="1">
      <alignment horizontal="center"/>
      <protection hidden="1"/>
    </xf>
    <xf numFmtId="38" fontId="51" fillId="17" borderId="0" xfId="1" applyNumberFormat="1" applyFont="1" applyFill="1" applyProtection="1">
      <protection hidden="1"/>
    </xf>
    <xf numFmtId="38" fontId="51" fillId="17" borderId="0" xfId="4" applyNumberFormat="1" applyFont="1" applyFill="1" applyProtection="1">
      <protection hidden="1"/>
    </xf>
    <xf numFmtId="38" fontId="11" fillId="17" borderId="0" xfId="4" applyNumberFormat="1" applyFont="1" applyFill="1" applyAlignment="1" applyProtection="1">
      <alignment horizontal="right"/>
      <protection hidden="1"/>
    </xf>
    <xf numFmtId="38" fontId="11" fillId="17" borderId="0" xfId="4" applyNumberFormat="1" applyFont="1" applyFill="1" applyProtection="1">
      <protection hidden="1"/>
    </xf>
    <xf numFmtId="38" fontId="11" fillId="17" borderId="0" xfId="1" applyNumberFormat="1" applyFont="1" applyFill="1" applyProtection="1">
      <protection hidden="1"/>
    </xf>
    <xf numFmtId="38" fontId="11" fillId="17" borderId="0" xfId="4" quotePrefix="1" applyNumberFormat="1" applyFont="1" applyFill="1" applyAlignment="1" applyProtection="1">
      <alignment horizontal="left"/>
      <protection hidden="1"/>
    </xf>
    <xf numFmtId="38" fontId="11" fillId="17" borderId="0" xfId="4" applyNumberFormat="1" applyFont="1" applyFill="1" applyAlignment="1" applyProtection="1">
      <alignment horizontal="center"/>
      <protection hidden="1"/>
    </xf>
    <xf numFmtId="38" fontId="76" fillId="17" borderId="0" xfId="1" applyNumberFormat="1" applyFont="1" applyFill="1" applyProtection="1">
      <protection hidden="1"/>
    </xf>
    <xf numFmtId="38" fontId="26" fillId="17" borderId="0" xfId="1" applyNumberFormat="1" applyFont="1" applyFill="1" applyAlignment="1" applyProtection="1">
      <alignment horizontal="center" vertical="center"/>
      <protection hidden="1"/>
    </xf>
    <xf numFmtId="38" fontId="26" fillId="17" borderId="0" xfId="5" applyNumberFormat="1" applyFont="1" applyFill="1" applyAlignment="1" applyProtection="1">
      <alignment vertical="center"/>
      <protection hidden="1"/>
    </xf>
    <xf numFmtId="0" fontId="26" fillId="17" borderId="0" xfId="0" applyFont="1" applyFill="1" applyAlignment="1" applyProtection="1">
      <alignment horizontal="left" vertical="center"/>
      <protection hidden="1"/>
    </xf>
    <xf numFmtId="0" fontId="26" fillId="17" borderId="0" xfId="0" applyFont="1" applyFill="1" applyAlignment="1" applyProtection="1">
      <alignment horizontal="left" vertical="center" indent="1"/>
      <protection hidden="1"/>
    </xf>
    <xf numFmtId="0" fontId="26" fillId="17" borderId="0" xfId="0" applyFont="1" applyFill="1" applyAlignment="1" applyProtection="1">
      <alignment vertical="center"/>
      <protection hidden="1"/>
    </xf>
    <xf numFmtId="0" fontId="7" fillId="17" borderId="0" xfId="0" applyFont="1" applyFill="1" applyAlignment="1" applyProtection="1">
      <alignment horizontal="left" vertical="center"/>
      <protection hidden="1"/>
    </xf>
    <xf numFmtId="0" fontId="26" fillId="17" borderId="0" xfId="0" applyFont="1" applyFill="1" applyAlignment="1" applyProtection="1">
      <alignment horizontal="center" vertical="center"/>
      <protection hidden="1"/>
    </xf>
    <xf numFmtId="0" fontId="7" fillId="17" borderId="0" xfId="0" applyFont="1" applyFill="1" applyAlignment="1" applyProtection="1">
      <alignment vertical="center"/>
      <protection hidden="1"/>
    </xf>
    <xf numFmtId="38" fontId="26" fillId="17" borderId="0" xfId="5" applyNumberFormat="1" applyFont="1" applyFill="1" applyProtection="1">
      <protection hidden="1"/>
    </xf>
    <xf numFmtId="0" fontId="7" fillId="17" borderId="0" xfId="0" applyFont="1" applyFill="1" applyAlignment="1" applyProtection="1">
      <alignment horizontal="left"/>
      <protection hidden="1"/>
    </xf>
    <xf numFmtId="0" fontId="7" fillId="17" borderId="0" xfId="0" applyFont="1" applyFill="1" applyProtection="1">
      <protection hidden="1"/>
    </xf>
    <xf numFmtId="0" fontId="7" fillId="17" borderId="0" xfId="0" applyFont="1" applyFill="1" applyAlignment="1" applyProtection="1">
      <alignment horizontal="center"/>
      <protection hidden="1"/>
    </xf>
    <xf numFmtId="0" fontId="7" fillId="17" borderId="0" xfId="0" applyFont="1" applyFill="1" applyAlignment="1" applyProtection="1">
      <alignment horizontal="left" indent="1"/>
      <protection hidden="1"/>
    </xf>
    <xf numFmtId="38" fontId="26" fillId="17" borderId="0" xfId="5" applyNumberFormat="1" applyFont="1" applyFill="1" applyAlignment="1" applyProtection="1">
      <alignment horizontal="left"/>
      <protection hidden="1"/>
    </xf>
    <xf numFmtId="0" fontId="7" fillId="17" borderId="0" xfId="0" applyFont="1" applyFill="1" applyAlignment="1" applyProtection="1">
      <alignment horizontal="left" vertical="center" indent="1"/>
      <protection hidden="1"/>
    </xf>
    <xf numFmtId="0" fontId="7" fillId="17" borderId="23" xfId="0" applyFont="1" applyFill="1" applyBorder="1" applyAlignment="1" applyProtection="1">
      <alignment horizontal="center" vertical="center"/>
      <protection hidden="1"/>
    </xf>
    <xf numFmtId="38" fontId="26" fillId="17" borderId="0" xfId="1" applyNumberFormat="1" applyFont="1" applyFill="1" applyAlignment="1" applyProtection="1">
      <alignment horizontal="left" vertical="center" indent="1"/>
      <protection hidden="1"/>
    </xf>
    <xf numFmtId="38" fontId="26" fillId="17" borderId="0" xfId="5" applyNumberFormat="1" applyFont="1" applyFill="1" applyAlignment="1" applyProtection="1">
      <alignment horizontal="left" vertical="center" indent="1"/>
      <protection hidden="1"/>
    </xf>
    <xf numFmtId="0" fontId="11" fillId="17" borderId="0" xfId="0" applyFont="1" applyFill="1" applyAlignment="1" applyProtection="1">
      <alignment vertical="center"/>
      <protection hidden="1"/>
    </xf>
    <xf numFmtId="38" fontId="13" fillId="17" borderId="0" xfId="4" applyNumberFormat="1" applyFont="1" applyFill="1" applyAlignment="1" applyProtection="1">
      <alignment horizontal="center" vertical="center"/>
      <protection hidden="1"/>
    </xf>
    <xf numFmtId="38" fontId="26" fillId="17" borderId="0" xfId="5" applyNumberFormat="1" applyFont="1" applyFill="1" applyAlignment="1" applyProtection="1">
      <alignment horizontal="center" vertical="center"/>
      <protection hidden="1"/>
    </xf>
    <xf numFmtId="38" fontId="68" fillId="17" borderId="0" xfId="4" applyNumberFormat="1" applyFont="1" applyFill="1" applyAlignment="1" applyProtection="1">
      <alignment horizontal="center"/>
      <protection hidden="1"/>
    </xf>
    <xf numFmtId="38" fontId="9" fillId="17" borderId="0" xfId="4" applyNumberFormat="1" applyFont="1" applyFill="1" applyAlignment="1" applyProtection="1">
      <alignment horizontal="center"/>
      <protection hidden="1"/>
    </xf>
    <xf numFmtId="38" fontId="25" fillId="17" borderId="0" xfId="4" applyNumberFormat="1" applyFont="1" applyFill="1" applyAlignment="1" applyProtection="1">
      <alignment horizontal="center"/>
      <protection hidden="1"/>
    </xf>
    <xf numFmtId="38" fontId="64" fillId="17" borderId="0" xfId="1" applyNumberFormat="1" applyFont="1" applyFill="1" applyAlignment="1" applyProtection="1">
      <alignment horizontal="center"/>
      <protection hidden="1"/>
    </xf>
    <xf numFmtId="0" fontId="42" fillId="17" borderId="0" xfId="5" applyFont="1" applyFill="1" applyAlignment="1" applyProtection="1">
      <alignment horizontal="left"/>
      <protection hidden="1"/>
    </xf>
    <xf numFmtId="38" fontId="72" fillId="17" borderId="0" xfId="4" applyNumberFormat="1" applyFont="1" applyFill="1" applyAlignment="1" applyProtection="1">
      <alignment horizontal="left"/>
      <protection hidden="1"/>
    </xf>
    <xf numFmtId="38" fontId="41" fillId="17" borderId="0" xfId="1" applyNumberFormat="1" applyFont="1" applyFill="1" applyAlignment="1" applyProtection="1">
      <alignment horizontal="left"/>
      <protection hidden="1"/>
    </xf>
    <xf numFmtId="38" fontId="26" fillId="17" borderId="0" xfId="4" applyNumberFormat="1" applyFont="1" applyFill="1" applyAlignment="1" applyProtection="1">
      <alignment horizontal="center"/>
      <protection hidden="1"/>
    </xf>
    <xf numFmtId="38" fontId="26" fillId="17" borderId="0" xfId="4" applyNumberFormat="1" applyFont="1" applyFill="1" applyAlignment="1" applyProtection="1">
      <alignment horizontal="left"/>
      <protection hidden="1"/>
    </xf>
    <xf numFmtId="38" fontId="13" fillId="17" borderId="0" xfId="4" applyNumberFormat="1" applyFont="1" applyFill="1" applyAlignment="1" applyProtection="1">
      <alignment vertical="center"/>
      <protection hidden="1"/>
    </xf>
    <xf numFmtId="38" fontId="29" fillId="17" borderId="0" xfId="10" applyNumberFormat="1" applyFont="1" applyFill="1" applyProtection="1">
      <protection hidden="1"/>
    </xf>
    <xf numFmtId="0" fontId="1" fillId="17" borderId="0" xfId="0" applyFont="1" applyFill="1" applyProtection="1">
      <protection hidden="1"/>
    </xf>
    <xf numFmtId="0" fontId="1" fillId="17" borderId="0" xfId="0" applyFont="1" applyFill="1" applyAlignment="1" applyProtection="1">
      <alignment horizontal="left"/>
      <protection hidden="1"/>
    </xf>
    <xf numFmtId="0" fontId="13" fillId="17" borderId="0" xfId="0" applyFont="1" applyFill="1" applyAlignment="1" applyProtection="1">
      <alignment horizontal="left"/>
      <protection hidden="1"/>
    </xf>
    <xf numFmtId="0" fontId="1" fillId="17" borderId="0" xfId="0" applyFont="1" applyFill="1" applyAlignment="1" applyProtection="1">
      <alignment horizontal="right"/>
      <protection hidden="1"/>
    </xf>
    <xf numFmtId="0" fontId="13" fillId="17" borderId="0" xfId="0" applyFont="1" applyFill="1" applyProtection="1">
      <protection hidden="1"/>
    </xf>
    <xf numFmtId="0" fontId="0" fillId="17" borderId="0" xfId="0" applyFill="1" applyAlignment="1" applyProtection="1">
      <alignment horizontal="left" vertical="center" indent="1"/>
      <protection hidden="1"/>
    </xf>
    <xf numFmtId="0" fontId="0" fillId="17" borderId="0" xfId="0" applyFill="1" applyAlignment="1" applyProtection="1">
      <alignment horizontal="left" indent="1"/>
      <protection hidden="1"/>
    </xf>
    <xf numFmtId="38" fontId="49" fillId="17" borderId="0" xfId="0" applyNumberFormat="1" applyFont="1" applyFill="1" applyProtection="1">
      <protection hidden="1"/>
    </xf>
    <xf numFmtId="38" fontId="9" fillId="17" borderId="0" xfId="4" applyNumberFormat="1" applyFont="1" applyFill="1" applyAlignment="1" applyProtection="1">
      <alignment vertical="center"/>
      <protection hidden="1"/>
    </xf>
    <xf numFmtId="38" fontId="87" fillId="17" borderId="0" xfId="5" applyNumberFormat="1" applyFont="1" applyFill="1" applyAlignment="1" applyProtection="1">
      <alignment vertical="center"/>
      <protection hidden="1"/>
    </xf>
    <xf numFmtId="38" fontId="87" fillId="17" borderId="0" xfId="5" applyNumberFormat="1" applyFont="1" applyFill="1" applyAlignment="1" applyProtection="1">
      <alignment horizontal="left" vertical="center"/>
      <protection hidden="1"/>
    </xf>
    <xf numFmtId="0" fontId="93" fillId="17" borderId="0" xfId="0" applyFont="1" applyFill="1" applyAlignment="1" applyProtection="1">
      <alignment horizontal="center" vertical="center"/>
      <protection hidden="1"/>
    </xf>
    <xf numFmtId="0" fontId="95" fillId="17" borderId="0" xfId="0" applyFont="1" applyFill="1" applyAlignment="1" applyProtection="1">
      <alignment horizontal="center" vertical="center"/>
      <protection hidden="1"/>
    </xf>
    <xf numFmtId="0" fontId="96" fillId="17" borderId="0" xfId="0" applyFont="1" applyFill="1" applyAlignment="1" applyProtection="1">
      <alignment horizontal="center" vertical="center"/>
      <protection hidden="1"/>
    </xf>
    <xf numFmtId="0" fontId="87" fillId="17" borderId="0" xfId="0" applyFont="1" applyFill="1" applyAlignment="1" applyProtection="1">
      <alignment horizontal="center" vertical="center"/>
      <protection hidden="1"/>
    </xf>
    <xf numFmtId="0" fontId="15" fillId="17" borderId="0" xfId="0" applyFont="1" applyFill="1" applyAlignment="1" applyProtection="1">
      <alignment horizontal="left" vertical="center"/>
      <protection hidden="1"/>
    </xf>
    <xf numFmtId="172" fontId="9" fillId="17" borderId="0" xfId="4" applyNumberFormat="1" applyFont="1" applyFill="1" applyAlignment="1" applyProtection="1">
      <alignment horizontal="left" indent="1"/>
      <protection hidden="1"/>
    </xf>
    <xf numFmtId="170" fontId="9" fillId="17" borderId="0" xfId="1" applyNumberFormat="1" applyFont="1" applyFill="1" applyAlignment="1" applyProtection="1">
      <alignment horizontal="right" indent="1"/>
      <protection hidden="1"/>
    </xf>
    <xf numFmtId="170" fontId="9" fillId="17" borderId="0" xfId="1" applyNumberFormat="1" applyFont="1" applyFill="1" applyAlignment="1" applyProtection="1">
      <alignment horizontal="right"/>
      <protection hidden="1"/>
    </xf>
    <xf numFmtId="172" fontId="52" fillId="17" borderId="0" xfId="1" applyNumberFormat="1" applyFont="1" applyFill="1" applyAlignment="1" applyProtection="1">
      <alignment horizontal="left"/>
      <protection hidden="1"/>
    </xf>
    <xf numFmtId="3" fontId="9" fillId="17" borderId="0" xfId="0" applyNumberFormat="1" applyFont="1" applyFill="1" applyAlignment="1" applyProtection="1">
      <alignment horizontal="left" indent="2"/>
      <protection hidden="1"/>
    </xf>
    <xf numFmtId="167" fontId="63" fillId="17" borderId="0" xfId="1" applyNumberFormat="1" applyFont="1" applyFill="1" applyAlignment="1" applyProtection="1">
      <alignment horizontal="left"/>
      <protection hidden="1"/>
    </xf>
    <xf numFmtId="172" fontId="9" fillId="17" borderId="0" xfId="1" applyNumberFormat="1" applyFont="1" applyFill="1" applyAlignment="1" applyProtection="1">
      <alignment horizontal="right" indent="1"/>
      <protection hidden="1"/>
    </xf>
    <xf numFmtId="167" fontId="59" fillId="17" borderId="0" xfId="1" applyNumberFormat="1" applyFont="1" applyFill="1" applyAlignment="1" applyProtection="1">
      <alignment horizontal="left"/>
      <protection hidden="1"/>
    </xf>
    <xf numFmtId="38" fontId="9" fillId="17" borderId="0" xfId="1" applyNumberFormat="1" applyFont="1" applyFill="1" applyAlignment="1" applyProtection="1">
      <alignment horizontal="right" indent="1"/>
      <protection hidden="1"/>
    </xf>
    <xf numFmtId="38" fontId="13" fillId="17" borderId="0" xfId="0" applyNumberFormat="1" applyFont="1" applyFill="1" applyAlignment="1" applyProtection="1">
      <alignment horizontal="right" indent="1"/>
      <protection hidden="1"/>
    </xf>
    <xf numFmtId="38" fontId="13" fillId="17" borderId="0" xfId="1" applyNumberFormat="1" applyFont="1" applyFill="1" applyAlignment="1" applyProtection="1">
      <alignment horizontal="right" vertical="center" indent="1"/>
      <protection hidden="1"/>
    </xf>
    <xf numFmtId="170" fontId="9" fillId="17" borderId="0" xfId="4" applyNumberFormat="1" applyFont="1" applyFill="1" applyAlignment="1" applyProtection="1">
      <alignment horizontal="left" vertical="top" indent="1"/>
      <protection hidden="1"/>
    </xf>
    <xf numFmtId="170" fontId="9" fillId="17" borderId="0" xfId="1" applyNumberFormat="1" applyFont="1" applyFill="1" applyAlignment="1" applyProtection="1">
      <alignment horizontal="right" vertical="top" indent="1"/>
      <protection hidden="1"/>
    </xf>
    <xf numFmtId="172" fontId="52" fillId="17" borderId="0" xfId="1" applyNumberFormat="1" applyFont="1" applyFill="1" applyAlignment="1" applyProtection="1">
      <alignment horizontal="right"/>
      <protection hidden="1"/>
    </xf>
    <xf numFmtId="3" fontId="9" fillId="17" borderId="0" xfId="4" applyNumberFormat="1" applyFont="1" applyFill="1" applyAlignment="1" applyProtection="1">
      <alignment horizontal="left" indent="2"/>
      <protection hidden="1"/>
    </xf>
    <xf numFmtId="172" fontId="9" fillId="17" borderId="0" xfId="0" applyNumberFormat="1" applyFont="1" applyFill="1" applyAlignment="1" applyProtection="1">
      <alignment horizontal="right" indent="1"/>
      <protection hidden="1"/>
    </xf>
    <xf numFmtId="172" fontId="9" fillId="17" borderId="0" xfId="1" applyNumberFormat="1" applyFont="1" applyFill="1" applyAlignment="1" applyProtection="1">
      <alignment horizontal="left" indent="2"/>
      <protection hidden="1"/>
    </xf>
    <xf numFmtId="172" fontId="9" fillId="17" borderId="0" xfId="4" applyNumberFormat="1" applyFont="1" applyFill="1" applyAlignment="1" applyProtection="1">
      <alignment horizontal="right" indent="1"/>
      <protection hidden="1"/>
    </xf>
    <xf numFmtId="172" fontId="9" fillId="17" borderId="12" xfId="1" applyNumberFormat="1" applyFont="1" applyFill="1" applyBorder="1" applyAlignment="1" applyProtection="1">
      <alignment horizontal="left" indent="2"/>
      <protection hidden="1"/>
    </xf>
    <xf numFmtId="170" fontId="9" fillId="17" borderId="12" xfId="1" applyNumberFormat="1" applyFont="1" applyFill="1" applyBorder="1" applyAlignment="1" applyProtection="1">
      <alignment horizontal="right" indent="1"/>
      <protection hidden="1"/>
    </xf>
    <xf numFmtId="170" fontId="9" fillId="17" borderId="12" xfId="1" applyNumberFormat="1" applyFont="1" applyFill="1" applyBorder="1" applyAlignment="1" applyProtection="1">
      <alignment horizontal="left" indent="2"/>
      <protection hidden="1"/>
    </xf>
    <xf numFmtId="38" fontId="9" fillId="17" borderId="0" xfId="4" applyNumberFormat="1" applyFont="1" applyFill="1" applyAlignment="1" applyProtection="1">
      <alignment horizontal="left" indent="1"/>
      <protection hidden="1"/>
    </xf>
    <xf numFmtId="170" fontId="9" fillId="17" borderId="0" xfId="4" applyNumberFormat="1" applyFont="1" applyFill="1" applyAlignment="1" applyProtection="1">
      <alignment horizontal="right" indent="1"/>
      <protection hidden="1"/>
    </xf>
    <xf numFmtId="38" fontId="9" fillId="17" borderId="0" xfId="4" applyNumberFormat="1" applyFont="1" applyFill="1" applyAlignment="1" applyProtection="1">
      <alignment horizontal="left" indent="2"/>
      <protection hidden="1"/>
    </xf>
    <xf numFmtId="38" fontId="18" fillId="17" borderId="0" xfId="1" applyNumberFormat="1" applyFont="1" applyFill="1" applyProtection="1">
      <protection hidden="1"/>
    </xf>
    <xf numFmtId="172" fontId="60" fillId="17" borderId="0" xfId="1" applyNumberFormat="1" applyFont="1" applyFill="1" applyAlignment="1" applyProtection="1">
      <alignment horizontal="left"/>
      <protection hidden="1"/>
    </xf>
    <xf numFmtId="170" fontId="9" fillId="17" borderId="0" xfId="1" applyNumberFormat="1" applyFont="1" applyFill="1" applyAlignment="1" applyProtection="1">
      <alignment horizontal="left" indent="2"/>
      <protection hidden="1"/>
    </xf>
    <xf numFmtId="172" fontId="9" fillId="17" borderId="12" xfId="4" applyNumberFormat="1" applyFont="1" applyFill="1" applyBorder="1" applyAlignment="1" applyProtection="1">
      <alignment horizontal="left" indent="2"/>
      <protection hidden="1"/>
    </xf>
    <xf numFmtId="38" fontId="9" fillId="17" borderId="12" xfId="4" applyNumberFormat="1" applyFont="1" applyFill="1" applyBorder="1" applyAlignment="1" applyProtection="1">
      <alignment horizontal="left" indent="1"/>
      <protection hidden="1"/>
    </xf>
    <xf numFmtId="170" fontId="9" fillId="17" borderId="12" xfId="4" applyNumberFormat="1" applyFont="1" applyFill="1" applyBorder="1" applyAlignment="1" applyProtection="1">
      <alignment horizontal="right" indent="1"/>
      <protection hidden="1"/>
    </xf>
    <xf numFmtId="38" fontId="9" fillId="17" borderId="12" xfId="4" applyNumberFormat="1" applyFont="1" applyFill="1" applyBorder="1" applyAlignment="1" applyProtection="1">
      <alignment horizontal="left" indent="2"/>
      <protection hidden="1"/>
    </xf>
    <xf numFmtId="172" fontId="9" fillId="17" borderId="12" xfId="4" applyNumberFormat="1" applyFont="1" applyFill="1" applyBorder="1" applyAlignment="1" applyProtection="1">
      <alignment horizontal="left" indent="1"/>
      <protection hidden="1"/>
    </xf>
    <xf numFmtId="170" fontId="9" fillId="17" borderId="12" xfId="1" applyNumberFormat="1" applyFont="1" applyFill="1" applyBorder="1" applyAlignment="1" applyProtection="1">
      <alignment horizontal="right"/>
      <protection hidden="1"/>
    </xf>
    <xf numFmtId="170" fontId="9" fillId="17" borderId="0" xfId="4" applyNumberFormat="1" applyFont="1" applyFill="1" applyAlignment="1" applyProtection="1">
      <alignment horizontal="left" indent="1"/>
      <protection hidden="1"/>
    </xf>
    <xf numFmtId="38" fontId="25" fillId="17" borderId="0" xfId="1" quotePrefix="1" applyNumberFormat="1" applyFont="1" applyFill="1" applyProtection="1">
      <protection hidden="1"/>
    </xf>
    <xf numFmtId="172" fontId="60" fillId="17" borderId="0" xfId="1" applyNumberFormat="1" applyFont="1" applyFill="1" applyProtection="1">
      <protection hidden="1"/>
    </xf>
    <xf numFmtId="170" fontId="9" fillId="17" borderId="0" xfId="1" applyNumberFormat="1" applyFont="1" applyFill="1" applyAlignment="1" applyProtection="1">
      <alignment horizontal="left" indent="1"/>
      <protection hidden="1"/>
    </xf>
    <xf numFmtId="172" fontId="9" fillId="17" borderId="0" xfId="1" applyNumberFormat="1" applyFont="1" applyFill="1" applyAlignment="1" applyProtection="1">
      <alignment horizontal="right"/>
      <protection hidden="1"/>
    </xf>
    <xf numFmtId="172" fontId="53" fillId="17" borderId="0" xfId="1" applyNumberFormat="1" applyFont="1" applyFill="1" applyAlignment="1" applyProtection="1">
      <alignment horizontal="right"/>
      <protection hidden="1"/>
    </xf>
    <xf numFmtId="38" fontId="54" fillId="17" borderId="0" xfId="1" applyNumberFormat="1" applyFont="1" applyFill="1" applyAlignment="1" applyProtection="1">
      <alignment horizontal="center" vertical="top"/>
      <protection hidden="1"/>
    </xf>
    <xf numFmtId="38" fontId="31" fillId="17" borderId="0" xfId="1" applyNumberFormat="1" applyFont="1" applyFill="1" applyProtection="1">
      <protection hidden="1"/>
    </xf>
    <xf numFmtId="38" fontId="25" fillId="17" borderId="0" xfId="1" applyNumberFormat="1" applyFont="1" applyFill="1" applyAlignment="1" applyProtection="1">
      <alignment horizontal="center"/>
      <protection hidden="1"/>
    </xf>
    <xf numFmtId="0" fontId="42" fillId="17" borderId="0" xfId="5" applyFont="1" applyFill="1" applyAlignment="1" applyProtection="1">
      <alignment horizontal="right" indent="1"/>
      <protection hidden="1"/>
    </xf>
    <xf numFmtId="38" fontId="41" fillId="17" borderId="0" xfId="1" applyNumberFormat="1" applyFont="1" applyFill="1" applyAlignment="1" applyProtection="1">
      <alignment horizontal="right" indent="1"/>
      <protection hidden="1"/>
    </xf>
    <xf numFmtId="38" fontId="47" fillId="17" borderId="0" xfId="1" applyNumberFormat="1" applyFont="1" applyFill="1" applyAlignment="1" applyProtection="1">
      <alignment horizontal="left"/>
      <protection hidden="1"/>
    </xf>
    <xf numFmtId="38" fontId="44" fillId="17" borderId="0" xfId="1" applyNumberFormat="1" applyFont="1" applyFill="1" applyAlignment="1" applyProtection="1">
      <alignment horizontal="left"/>
      <protection hidden="1"/>
    </xf>
    <xf numFmtId="38" fontId="26" fillId="17" borderId="0" xfId="4" applyNumberFormat="1" applyFont="1" applyFill="1" applyAlignment="1" applyProtection="1">
      <alignment horizontal="right" indent="1"/>
      <protection hidden="1"/>
    </xf>
    <xf numFmtId="38" fontId="26" fillId="17" borderId="0" xfId="1" applyNumberFormat="1" applyFont="1" applyFill="1" applyAlignment="1" applyProtection="1">
      <alignment horizontal="right" indent="1"/>
      <protection hidden="1"/>
    </xf>
    <xf numFmtId="38" fontId="9" fillId="17" borderId="0" xfId="4" applyNumberFormat="1" applyFont="1" applyFill="1" applyAlignment="1" applyProtection="1">
      <alignment horizontal="right" indent="1"/>
      <protection hidden="1"/>
    </xf>
    <xf numFmtId="38" fontId="11" fillId="17" borderId="0" xfId="4" applyNumberFormat="1" applyFont="1" applyFill="1" applyAlignment="1" applyProtection="1">
      <alignment horizontal="right" indent="1"/>
      <protection hidden="1"/>
    </xf>
    <xf numFmtId="38" fontId="83" fillId="17" borderId="0" xfId="4" applyNumberFormat="1" applyFont="1" applyFill="1" applyAlignment="1" applyProtection="1">
      <alignment vertical="top"/>
      <protection hidden="1"/>
    </xf>
    <xf numFmtId="38" fontId="83" fillId="17" borderId="0" xfId="4" applyNumberFormat="1" applyFont="1" applyFill="1" applyAlignment="1" applyProtection="1">
      <alignment vertical="center"/>
      <protection hidden="1"/>
    </xf>
    <xf numFmtId="38" fontId="40" fillId="17" borderId="0" xfId="1" applyNumberFormat="1" applyFont="1" applyFill="1" applyProtection="1">
      <protection hidden="1"/>
    </xf>
    <xf numFmtId="38" fontId="11" fillId="17" borderId="0" xfId="4" applyNumberFormat="1" applyFont="1" applyFill="1" applyAlignment="1" applyProtection="1">
      <alignment horizontal="center" vertical="center"/>
      <protection hidden="1"/>
    </xf>
    <xf numFmtId="38" fontId="11" fillId="17" borderId="0" xfId="1" applyNumberFormat="1" applyFont="1" applyFill="1" applyAlignment="1" applyProtection="1">
      <alignment vertical="center"/>
      <protection hidden="1"/>
    </xf>
    <xf numFmtId="38" fontId="11" fillId="17" borderId="0" xfId="4" applyNumberFormat="1" applyFont="1" applyFill="1" applyAlignment="1" applyProtection="1">
      <alignment horizontal="right" vertical="center" indent="1"/>
      <protection hidden="1"/>
    </xf>
    <xf numFmtId="38" fontId="11" fillId="17" borderId="0" xfId="4" applyNumberFormat="1" applyFont="1" applyFill="1" applyAlignment="1" applyProtection="1">
      <alignment horizontal="left" vertical="center"/>
      <protection hidden="1"/>
    </xf>
    <xf numFmtId="38" fontId="11" fillId="17" borderId="0" xfId="4" applyNumberFormat="1" applyFont="1" applyFill="1" applyAlignment="1" applyProtection="1">
      <alignment vertical="center"/>
      <protection hidden="1"/>
    </xf>
    <xf numFmtId="38" fontId="43" fillId="17" borderId="0" xfId="0" applyNumberFormat="1" applyFont="1" applyFill="1" applyAlignment="1" applyProtection="1">
      <alignment horizontal="right" indent="1"/>
      <protection hidden="1"/>
    </xf>
    <xf numFmtId="38" fontId="45" fillId="17" borderId="0" xfId="5" applyNumberFormat="1" applyFont="1" applyFill="1" applyProtection="1">
      <protection hidden="1"/>
    </xf>
    <xf numFmtId="38" fontId="44" fillId="17" borderId="0" xfId="5" applyNumberFormat="1" applyFont="1" applyFill="1" applyAlignment="1" applyProtection="1">
      <alignment horizontal="right" indent="1"/>
      <protection hidden="1"/>
    </xf>
    <xf numFmtId="38" fontId="41" fillId="17" borderId="0" xfId="5" applyNumberFormat="1" applyFont="1" applyFill="1" applyAlignment="1" applyProtection="1">
      <alignment horizontal="left" indent="1"/>
      <protection hidden="1"/>
    </xf>
    <xf numFmtId="38" fontId="41" fillId="17" borderId="0" xfId="5" applyNumberFormat="1" applyFont="1" applyFill="1" applyAlignment="1" applyProtection="1">
      <alignment horizontal="right" indent="1"/>
      <protection hidden="1"/>
    </xf>
    <xf numFmtId="38" fontId="13" fillId="17" borderId="0" xfId="5" applyNumberFormat="1" applyFont="1" applyFill="1" applyProtection="1">
      <protection hidden="1"/>
    </xf>
    <xf numFmtId="38" fontId="13" fillId="17" borderId="0" xfId="5" applyNumberFormat="1" applyFont="1" applyFill="1" applyAlignment="1" applyProtection="1">
      <alignment horizontal="right" indent="1"/>
      <protection hidden="1"/>
    </xf>
    <xf numFmtId="38" fontId="86" fillId="17" borderId="0" xfId="5" applyNumberFormat="1" applyFont="1" applyFill="1" applyProtection="1">
      <protection hidden="1"/>
    </xf>
    <xf numFmtId="38" fontId="14" fillId="17" borderId="0" xfId="5" applyNumberFormat="1" applyFont="1" applyFill="1" applyProtection="1">
      <protection hidden="1"/>
    </xf>
    <xf numFmtId="38" fontId="13" fillId="17" borderId="0" xfId="5" applyNumberFormat="1" applyFont="1" applyFill="1" applyAlignment="1" applyProtection="1">
      <alignment horizontal="left" indent="1"/>
      <protection hidden="1"/>
    </xf>
    <xf numFmtId="38" fontId="13" fillId="17" borderId="0" xfId="5" applyNumberFormat="1" applyFont="1" applyFill="1" applyAlignment="1" applyProtection="1">
      <alignment horizontal="center" vertical="top"/>
      <protection hidden="1"/>
    </xf>
    <xf numFmtId="38" fontId="34" fillId="17" borderId="0" xfId="5" applyNumberFormat="1" applyFont="1" applyFill="1" applyProtection="1">
      <protection hidden="1"/>
    </xf>
    <xf numFmtId="169" fontId="9" fillId="17" borderId="0" xfId="0" quotePrefix="1" applyNumberFormat="1" applyFont="1" applyFill="1" applyAlignment="1" applyProtection="1">
      <alignment vertical="center"/>
      <protection hidden="1"/>
    </xf>
    <xf numFmtId="169" fontId="13" fillId="17" borderId="0" xfId="0" quotePrefix="1" applyNumberFormat="1" applyFont="1" applyFill="1" applyAlignment="1" applyProtection="1">
      <alignment horizontal="right" vertical="center" indent="1"/>
      <protection hidden="1"/>
    </xf>
    <xf numFmtId="38" fontId="51" fillId="17" borderId="0" xfId="1" applyNumberFormat="1" applyFont="1" applyFill="1" applyAlignment="1" applyProtection="1">
      <alignment horizontal="center" vertical="top"/>
      <protection hidden="1"/>
    </xf>
    <xf numFmtId="38" fontId="51" fillId="17" borderId="0" xfId="1" applyNumberFormat="1" applyFont="1" applyFill="1" applyAlignment="1" applyProtection="1">
      <alignment horizontal="left" vertical="top"/>
      <protection hidden="1"/>
    </xf>
    <xf numFmtId="169" fontId="11" fillId="17" borderId="0" xfId="5" applyNumberFormat="1" applyFont="1" applyFill="1" applyAlignment="1" applyProtection="1">
      <alignment horizontal="center" vertical="top"/>
      <protection hidden="1"/>
    </xf>
    <xf numFmtId="169" fontId="11" fillId="17" borderId="0" xfId="5" applyNumberFormat="1" applyFont="1" applyFill="1" applyAlignment="1" applyProtection="1">
      <alignment horizontal="right" vertical="top"/>
      <protection hidden="1"/>
    </xf>
    <xf numFmtId="169" fontId="11" fillId="17" borderId="0" xfId="5" applyNumberFormat="1" applyFont="1" applyFill="1" applyAlignment="1" applyProtection="1">
      <alignment horizontal="left" vertical="top"/>
      <protection hidden="1"/>
    </xf>
    <xf numFmtId="38" fontId="40" fillId="17" borderId="0" xfId="5" applyNumberFormat="1" applyFont="1" applyFill="1" applyAlignment="1" applyProtection="1">
      <alignment vertical="top"/>
      <protection hidden="1"/>
    </xf>
    <xf numFmtId="169" fontId="11" fillId="17" borderId="0" xfId="5" applyNumberFormat="1" applyFont="1" applyFill="1" applyAlignment="1" applyProtection="1">
      <alignment vertical="top"/>
      <protection hidden="1"/>
    </xf>
    <xf numFmtId="38" fontId="11" fillId="17" borderId="0" xfId="5" applyNumberFormat="1" applyFont="1" applyFill="1" applyAlignment="1" applyProtection="1">
      <alignment horizontal="left" vertical="top" indent="1"/>
      <protection hidden="1"/>
    </xf>
    <xf numFmtId="38" fontId="81" fillId="17" borderId="0" xfId="1" applyNumberFormat="1" applyFont="1" applyFill="1" applyAlignment="1" applyProtection="1">
      <alignment horizontal="left" vertical="center"/>
      <protection hidden="1"/>
    </xf>
    <xf numFmtId="0" fontId="9" fillId="17" borderId="0" xfId="5" applyFont="1" applyFill="1" applyProtection="1">
      <protection hidden="1"/>
    </xf>
    <xf numFmtId="38" fontId="83" fillId="17" borderId="0" xfId="5" applyNumberFormat="1" applyFont="1" applyFill="1" applyProtection="1">
      <protection hidden="1"/>
    </xf>
    <xf numFmtId="38" fontId="56" fillId="17" borderId="0" xfId="1" applyNumberFormat="1" applyFont="1" applyFill="1" applyAlignment="1" applyProtection="1">
      <alignment horizontal="center"/>
      <protection hidden="1"/>
    </xf>
    <xf numFmtId="38" fontId="56" fillId="17" borderId="0" xfId="5" applyNumberFormat="1" applyFont="1" applyFill="1" applyProtection="1">
      <protection hidden="1"/>
    </xf>
    <xf numFmtId="38" fontId="9" fillId="17" borderId="0" xfId="5" quotePrefix="1" applyNumberFormat="1" applyFont="1" applyFill="1" applyAlignment="1" applyProtection="1">
      <alignment horizontal="left" indent="1"/>
      <protection hidden="1"/>
    </xf>
    <xf numFmtId="38" fontId="13" fillId="17" borderId="0" xfId="5" applyNumberFormat="1" applyFont="1" applyFill="1" applyAlignment="1" applyProtection="1">
      <alignment horizontal="center"/>
      <protection hidden="1"/>
    </xf>
    <xf numFmtId="38" fontId="23" fillId="17" borderId="0" xfId="5" applyNumberFormat="1" applyFont="1" applyFill="1" applyProtection="1">
      <protection hidden="1"/>
    </xf>
    <xf numFmtId="38" fontId="23" fillId="17" borderId="0" xfId="5" applyNumberFormat="1" applyFont="1" applyFill="1" applyAlignment="1" applyProtection="1">
      <alignment horizontal="right" indent="1"/>
      <protection hidden="1"/>
    </xf>
    <xf numFmtId="38" fontId="9" fillId="20" borderId="2" xfId="5" applyNumberFormat="1" applyFont="1" applyFill="1" applyBorder="1" applyAlignment="1" applyProtection="1">
      <alignment horizontal="left"/>
      <protection hidden="1"/>
    </xf>
    <xf numFmtId="38" fontId="9" fillId="20" borderId="9" xfId="5" applyNumberFormat="1" applyFont="1" applyFill="1" applyBorder="1" applyAlignment="1" applyProtection="1">
      <alignment horizontal="left" indent="1"/>
      <protection hidden="1"/>
    </xf>
    <xf numFmtId="167" fontId="9" fillId="20" borderId="6" xfId="5" quotePrefix="1" applyNumberFormat="1" applyFont="1" applyFill="1" applyBorder="1" applyAlignment="1" applyProtection="1">
      <alignment horizontal="left" vertical="center" indent="1"/>
      <protection hidden="1"/>
    </xf>
    <xf numFmtId="167" fontId="9" fillId="20" borderId="3" xfId="5" quotePrefix="1" applyNumberFormat="1" applyFont="1" applyFill="1" applyBorder="1" applyAlignment="1" applyProtection="1">
      <alignment horizontal="left" vertical="center" indent="1"/>
      <protection hidden="1"/>
    </xf>
    <xf numFmtId="169" fontId="13" fillId="17" borderId="0" xfId="0" quotePrefix="1" applyNumberFormat="1" applyFont="1" applyFill="1" applyAlignment="1" applyProtection="1">
      <alignment vertical="center"/>
      <protection hidden="1"/>
    </xf>
    <xf numFmtId="169" fontId="11" fillId="17" borderId="0" xfId="5" applyNumberFormat="1" applyFont="1" applyFill="1" applyAlignment="1" applyProtection="1">
      <alignment horizontal="center"/>
      <protection hidden="1"/>
    </xf>
    <xf numFmtId="169" fontId="11" fillId="17" borderId="0" xfId="5" applyNumberFormat="1" applyFont="1" applyFill="1" applyAlignment="1" applyProtection="1">
      <alignment horizontal="right"/>
      <protection hidden="1"/>
    </xf>
    <xf numFmtId="169" fontId="11" fillId="17" borderId="0" xfId="5" applyNumberFormat="1" applyFont="1" applyFill="1" applyAlignment="1" applyProtection="1">
      <alignment horizontal="left" indent="1"/>
      <protection hidden="1"/>
    </xf>
    <xf numFmtId="38" fontId="40" fillId="17" borderId="0" xfId="5" applyNumberFormat="1" applyFont="1" applyFill="1" applyProtection="1">
      <protection hidden="1"/>
    </xf>
    <xf numFmtId="38" fontId="81" fillId="17" borderId="0" xfId="1" applyNumberFormat="1" applyFont="1" applyFill="1" applyAlignment="1" applyProtection="1">
      <alignment horizontal="left"/>
      <protection hidden="1"/>
    </xf>
    <xf numFmtId="38" fontId="9" fillId="17" borderId="0" xfId="5" quotePrefix="1" applyNumberFormat="1" applyFont="1" applyFill="1" applyProtection="1">
      <protection hidden="1"/>
    </xf>
    <xf numFmtId="38" fontId="9" fillId="20" borderId="0" xfId="5" applyNumberFormat="1" applyFont="1" applyFill="1" applyProtection="1">
      <protection hidden="1"/>
    </xf>
    <xf numFmtId="169" fontId="9" fillId="20" borderId="6" xfId="0" quotePrefix="1" applyNumberFormat="1" applyFont="1" applyFill="1" applyBorder="1" applyAlignment="1" applyProtection="1">
      <alignment horizontal="left" vertical="center" indent="1"/>
      <protection hidden="1"/>
    </xf>
    <xf numFmtId="169" fontId="9" fillId="20" borderId="19" xfId="0" quotePrefix="1" applyNumberFormat="1" applyFont="1" applyFill="1" applyBorder="1" applyAlignment="1" applyProtection="1">
      <alignment horizontal="left" vertical="center" indent="1"/>
      <protection hidden="1"/>
    </xf>
    <xf numFmtId="38" fontId="13" fillId="17" borderId="0" xfId="4" applyNumberFormat="1" applyFont="1" applyFill="1" applyAlignment="1" applyProtection="1">
      <alignment horizontal="right" indent="2"/>
      <protection hidden="1"/>
    </xf>
    <xf numFmtId="169" fontId="13" fillId="17" borderId="0" xfId="5" applyNumberFormat="1" applyFont="1" applyFill="1" applyAlignment="1" applyProtection="1">
      <alignment horizontal="center"/>
      <protection hidden="1"/>
    </xf>
    <xf numFmtId="169" fontId="14" fillId="17" borderId="0" xfId="0" quotePrefix="1" applyNumberFormat="1" applyFont="1" applyFill="1" applyProtection="1">
      <protection hidden="1"/>
    </xf>
    <xf numFmtId="38" fontId="14" fillId="17" borderId="0" xfId="5" applyNumberFormat="1" applyFont="1" applyFill="1" applyAlignment="1" applyProtection="1">
      <alignment horizontal="left"/>
      <protection hidden="1"/>
    </xf>
    <xf numFmtId="38" fontId="14" fillId="17" borderId="0" xfId="5" applyNumberFormat="1" applyFont="1" applyFill="1" applyAlignment="1" applyProtection="1">
      <alignment horizontal="center"/>
      <protection hidden="1"/>
    </xf>
    <xf numFmtId="38" fontId="9" fillId="17" borderId="0" xfId="5" applyNumberFormat="1" applyFont="1" applyFill="1" applyAlignment="1" applyProtection="1">
      <alignment horizontal="left" vertical="center"/>
      <protection hidden="1"/>
    </xf>
    <xf numFmtId="38" fontId="9" fillId="17" borderId="0" xfId="5" applyNumberFormat="1" applyFont="1" applyFill="1" applyAlignment="1" applyProtection="1">
      <alignment horizontal="right" indent="1"/>
      <protection hidden="1"/>
    </xf>
    <xf numFmtId="38" fontId="11" fillId="17" borderId="0" xfId="1" applyNumberFormat="1" applyFont="1" applyFill="1" applyAlignment="1" applyProtection="1">
      <alignment horizontal="center" vertical="center"/>
      <protection hidden="1"/>
    </xf>
    <xf numFmtId="38" fontId="40" fillId="17" borderId="0" xfId="5" applyNumberFormat="1" applyFont="1" applyFill="1" applyAlignment="1" applyProtection="1">
      <alignment vertical="center"/>
      <protection hidden="1"/>
    </xf>
    <xf numFmtId="169" fontId="11" fillId="17" borderId="0" xfId="5" applyNumberFormat="1" applyFont="1" applyFill="1" applyAlignment="1" applyProtection="1">
      <alignment horizontal="center" vertical="center"/>
      <protection hidden="1"/>
    </xf>
    <xf numFmtId="169" fontId="11" fillId="17" borderId="0" xfId="5" applyNumberFormat="1" applyFont="1" applyFill="1" applyAlignment="1" applyProtection="1">
      <alignment horizontal="left" vertical="center"/>
      <protection hidden="1"/>
    </xf>
    <xf numFmtId="169" fontId="11" fillId="17" borderId="0" xfId="5" applyNumberFormat="1" applyFont="1" applyFill="1" applyAlignment="1" applyProtection="1">
      <alignment horizontal="right" vertical="center" indent="1"/>
      <protection hidden="1"/>
    </xf>
    <xf numFmtId="38" fontId="73" fillId="17" borderId="0" xfId="5" applyNumberFormat="1" applyFont="1" applyFill="1" applyAlignment="1" applyProtection="1">
      <alignment vertical="center"/>
      <protection hidden="1"/>
    </xf>
    <xf numFmtId="38" fontId="31" fillId="17" borderId="0" xfId="5" applyNumberFormat="1" applyFont="1" applyFill="1" applyProtection="1">
      <protection hidden="1"/>
    </xf>
    <xf numFmtId="167" fontId="9" fillId="20" borderId="9" xfId="0" quotePrefix="1" applyNumberFormat="1" applyFont="1" applyFill="1" applyBorder="1" applyAlignment="1" applyProtection="1">
      <alignment horizontal="left" indent="1"/>
      <protection hidden="1"/>
    </xf>
    <xf numFmtId="167" fontId="9" fillId="20" borderId="16" xfId="0" quotePrefix="1" applyNumberFormat="1" applyFont="1" applyFill="1" applyBorder="1" applyAlignment="1" applyProtection="1">
      <alignment horizontal="left" indent="1"/>
      <protection hidden="1"/>
    </xf>
    <xf numFmtId="38" fontId="43" fillId="17" borderId="0" xfId="0" applyNumberFormat="1" applyFont="1" applyFill="1" applyAlignment="1" applyProtection="1">
      <alignment horizontal="left" indent="1"/>
      <protection hidden="1"/>
    </xf>
    <xf numFmtId="0" fontId="42" fillId="17" borderId="0" xfId="10" applyFont="1" applyFill="1" applyAlignment="1" applyProtection="1">
      <alignment horizontal="center"/>
      <protection hidden="1"/>
    </xf>
    <xf numFmtId="165" fontId="44" fillId="17" borderId="0" xfId="0" applyNumberFormat="1" applyFont="1" applyFill="1" applyAlignment="1" applyProtection="1">
      <alignment horizontal="left" indent="1"/>
      <protection hidden="1"/>
    </xf>
    <xf numFmtId="165" fontId="44" fillId="17" borderId="0" xfId="0" applyNumberFormat="1" applyFont="1" applyFill="1" applyAlignment="1" applyProtection="1">
      <alignment horizontal="center"/>
      <protection hidden="1"/>
    </xf>
    <xf numFmtId="38" fontId="13" fillId="17" borderId="0" xfId="4" applyNumberFormat="1" applyFont="1" applyFill="1" applyAlignment="1" applyProtection="1">
      <alignment horizontal="center"/>
      <protection hidden="1"/>
    </xf>
    <xf numFmtId="38" fontId="0" fillId="17" borderId="0" xfId="0" applyNumberFormat="1" applyFill="1" applyAlignment="1" applyProtection="1">
      <alignment horizontal="center"/>
      <protection hidden="1"/>
    </xf>
    <xf numFmtId="38" fontId="14" fillId="17" borderId="0" xfId="4" applyNumberFormat="1" applyFont="1" applyFill="1" applyAlignment="1" applyProtection="1">
      <alignment horizontal="left"/>
      <protection hidden="1"/>
    </xf>
    <xf numFmtId="167" fontId="84" fillId="17" borderId="0" xfId="12" applyNumberFormat="1" applyFont="1" applyFill="1" applyAlignment="1" applyProtection="1">
      <alignment horizontal="center" vertical="top"/>
      <protection hidden="1"/>
    </xf>
    <xf numFmtId="167" fontId="84" fillId="17" borderId="0" xfId="12" applyNumberFormat="1" applyFont="1" applyFill="1" applyAlignment="1" applyProtection="1">
      <alignment vertical="top"/>
      <protection hidden="1"/>
    </xf>
    <xf numFmtId="38" fontId="83" fillId="17" borderId="0" xfId="0" applyNumberFormat="1" applyFont="1" applyFill="1" applyAlignment="1" applyProtection="1">
      <alignment horizontal="left" vertical="top"/>
      <protection hidden="1"/>
    </xf>
    <xf numFmtId="167" fontId="84" fillId="17" borderId="0" xfId="12" applyNumberFormat="1" applyFont="1" applyFill="1" applyAlignment="1" applyProtection="1">
      <alignment horizontal="left" vertical="top"/>
      <protection hidden="1"/>
    </xf>
    <xf numFmtId="38" fontId="86" fillId="17" borderId="0" xfId="0" applyNumberFormat="1" applyFont="1" applyFill="1" applyAlignment="1" applyProtection="1">
      <alignment horizontal="left" vertical="top"/>
      <protection hidden="1"/>
    </xf>
    <xf numFmtId="167" fontId="83" fillId="17" borderId="0" xfId="12" applyNumberFormat="1" applyFont="1" applyFill="1" applyAlignment="1" applyProtection="1">
      <alignment vertical="top"/>
      <protection hidden="1"/>
    </xf>
    <xf numFmtId="164" fontId="83" fillId="17" borderId="0" xfId="13" applyNumberFormat="1" applyFont="1" applyFill="1" applyBorder="1" applyAlignment="1" applyProtection="1">
      <alignment horizontal="left" vertical="top"/>
      <protection hidden="1"/>
    </xf>
    <xf numFmtId="167" fontId="68" fillId="17" borderId="0" xfId="12" applyNumberFormat="1" applyFont="1" applyFill="1" applyAlignment="1" applyProtection="1">
      <alignment horizontal="center"/>
      <protection hidden="1"/>
    </xf>
    <xf numFmtId="167" fontId="68" fillId="17" borderId="0" xfId="12" applyNumberFormat="1" applyFont="1" applyFill="1" applyProtection="1">
      <protection hidden="1"/>
    </xf>
    <xf numFmtId="167" fontId="11" fillId="17" borderId="0" xfId="12" applyNumberFormat="1" applyFont="1" applyFill="1" applyProtection="1">
      <protection hidden="1"/>
    </xf>
    <xf numFmtId="167" fontId="11" fillId="17" borderId="0" xfId="12" applyNumberFormat="1" applyFont="1" applyFill="1" applyAlignment="1" applyProtection="1">
      <alignment horizontal="left" indent="1"/>
      <protection hidden="1"/>
    </xf>
    <xf numFmtId="167" fontId="11" fillId="17" borderId="0" xfId="12" applyNumberFormat="1" applyFont="1" applyFill="1" applyAlignment="1" applyProtection="1">
      <alignment horizontal="left"/>
      <protection hidden="1"/>
    </xf>
    <xf numFmtId="167" fontId="66" fillId="17" borderId="0" xfId="12" applyNumberFormat="1" applyFont="1" applyFill="1" applyProtection="1">
      <protection hidden="1"/>
    </xf>
    <xf numFmtId="167" fontId="9" fillId="17" borderId="0" xfId="12" applyNumberFormat="1" applyFont="1" applyFill="1" applyProtection="1">
      <protection hidden="1"/>
    </xf>
    <xf numFmtId="167" fontId="9" fillId="17" borderId="0" xfId="12" applyNumberFormat="1" applyFont="1" applyFill="1" applyAlignment="1" applyProtection="1">
      <alignment horizontal="center"/>
      <protection hidden="1"/>
    </xf>
    <xf numFmtId="167" fontId="11" fillId="17" borderId="0" xfId="12" applyNumberFormat="1" applyFont="1" applyFill="1" applyAlignment="1" applyProtection="1">
      <alignment horizontal="left" vertical="center"/>
      <protection hidden="1"/>
    </xf>
    <xf numFmtId="0" fontId="9" fillId="17" borderId="0" xfId="10" applyFont="1" applyFill="1" applyAlignment="1" applyProtection="1">
      <alignment horizontal="left" indent="1"/>
      <protection hidden="1"/>
    </xf>
    <xf numFmtId="0" fontId="9" fillId="17" borderId="0" xfId="10" applyFont="1" applyFill="1" applyProtection="1">
      <protection hidden="1"/>
    </xf>
    <xf numFmtId="0" fontId="9" fillId="17" borderId="0" xfId="10" applyFont="1" applyFill="1" applyAlignment="1" applyProtection="1">
      <alignment horizontal="left" indent="2"/>
      <protection hidden="1"/>
    </xf>
    <xf numFmtId="0" fontId="9" fillId="17" borderId="0" xfId="10" applyFont="1" applyFill="1" applyAlignment="1" applyProtection="1">
      <alignment horizontal="left" indent="3"/>
      <protection hidden="1"/>
    </xf>
    <xf numFmtId="167" fontId="13" fillId="17" borderId="0" xfId="12" applyNumberFormat="1" applyFont="1" applyFill="1" applyAlignment="1" applyProtection="1">
      <alignment horizontal="center"/>
      <protection hidden="1"/>
    </xf>
    <xf numFmtId="167" fontId="13" fillId="17" borderId="0" xfId="12" applyNumberFormat="1" applyFont="1" applyFill="1" applyAlignment="1" applyProtection="1">
      <alignment horizontal="center" vertical="center"/>
      <protection hidden="1"/>
    </xf>
    <xf numFmtId="167" fontId="13" fillId="17" borderId="0" xfId="12" applyNumberFormat="1" applyFont="1" applyFill="1" applyAlignment="1" applyProtection="1">
      <alignment vertical="center"/>
      <protection hidden="1"/>
    </xf>
    <xf numFmtId="167" fontId="13" fillId="17" borderId="0" xfId="12" applyNumberFormat="1" applyFont="1" applyFill="1" applyAlignment="1" applyProtection="1">
      <alignment horizontal="left"/>
      <protection hidden="1"/>
    </xf>
    <xf numFmtId="0" fontId="9" fillId="17" borderId="0" xfId="10" applyFont="1" applyFill="1" applyAlignment="1" applyProtection="1">
      <alignment horizontal="left" indent="4"/>
      <protection hidden="1"/>
    </xf>
    <xf numFmtId="167" fontId="9" fillId="17" borderId="0" xfId="12" applyNumberFormat="1" applyFont="1" applyFill="1" applyAlignment="1" applyProtection="1">
      <alignment vertical="center"/>
      <protection hidden="1"/>
    </xf>
    <xf numFmtId="167" fontId="13" fillId="17" borderId="0" xfId="12" applyNumberFormat="1" applyFont="1" applyFill="1" applyProtection="1">
      <protection hidden="1"/>
    </xf>
    <xf numFmtId="167" fontId="14" fillId="17" borderId="0" xfId="12" applyNumberFormat="1" applyFont="1" applyFill="1" applyAlignment="1" applyProtection="1">
      <alignment horizontal="left"/>
      <protection hidden="1"/>
    </xf>
    <xf numFmtId="167" fontId="9" fillId="17" borderId="0" xfId="12" applyNumberFormat="1" applyFont="1" applyFill="1" applyAlignment="1" applyProtection="1">
      <alignment vertical="top"/>
      <protection hidden="1"/>
    </xf>
    <xf numFmtId="0" fontId="9" fillId="17" borderId="0" xfId="10" quotePrefix="1" applyFont="1" applyFill="1" applyAlignment="1" applyProtection="1">
      <alignment horizontal="left" indent="2"/>
      <protection hidden="1"/>
    </xf>
    <xf numFmtId="0" fontId="9" fillId="17" borderId="0" xfId="10" quotePrefix="1" applyFont="1" applyFill="1" applyProtection="1">
      <protection hidden="1"/>
    </xf>
    <xf numFmtId="167" fontId="11" fillId="17" borderId="0" xfId="12" applyNumberFormat="1" applyFont="1" applyFill="1" applyAlignment="1" applyProtection="1">
      <alignment horizontal="left" vertical="top"/>
      <protection hidden="1"/>
    </xf>
    <xf numFmtId="167" fontId="13" fillId="17" borderId="0" xfId="12" applyNumberFormat="1" applyFont="1" applyFill="1" applyAlignment="1" applyProtection="1">
      <alignment horizontal="left" indent="1"/>
      <protection hidden="1"/>
    </xf>
    <xf numFmtId="167" fontId="51" fillId="17" borderId="0" xfId="12" applyNumberFormat="1" applyFont="1" applyFill="1" applyAlignment="1" applyProtection="1">
      <alignment horizontal="left" indent="1"/>
      <protection hidden="1"/>
    </xf>
    <xf numFmtId="167" fontId="9" fillId="17" borderId="0" xfId="12" applyNumberFormat="1" applyFont="1" applyFill="1" applyAlignment="1" applyProtection="1">
      <alignment horizontal="left" vertical="center"/>
      <protection hidden="1"/>
    </xf>
    <xf numFmtId="167" fontId="9" fillId="17" borderId="0" xfId="12" applyNumberFormat="1" applyFont="1" applyFill="1" applyAlignment="1" applyProtection="1">
      <alignment horizontal="left" vertical="center" indent="1"/>
      <protection hidden="1"/>
    </xf>
    <xf numFmtId="167" fontId="9" fillId="17" borderId="0" xfId="12" applyNumberFormat="1" applyFont="1" applyFill="1" applyAlignment="1" applyProtection="1">
      <alignment horizontal="center" vertical="center"/>
      <protection hidden="1"/>
    </xf>
    <xf numFmtId="167" fontId="36" fillId="17" borderId="0" xfId="12" applyNumberFormat="1" applyFont="1" applyFill="1" applyAlignment="1" applyProtection="1">
      <alignment horizontal="left" vertical="top"/>
      <protection hidden="1"/>
    </xf>
    <xf numFmtId="169" fontId="9" fillId="17" borderId="0" xfId="0" quotePrefix="1" applyNumberFormat="1" applyFont="1" applyFill="1" applyProtection="1">
      <protection hidden="1"/>
    </xf>
    <xf numFmtId="167" fontId="36" fillId="17" borderId="0" xfId="12" applyNumberFormat="1" applyFont="1" applyFill="1" applyAlignment="1" applyProtection="1">
      <alignment vertical="top"/>
      <protection hidden="1"/>
    </xf>
    <xf numFmtId="167" fontId="18" fillId="17" borderId="0" xfId="12" applyNumberFormat="1" applyFont="1" applyFill="1" applyAlignment="1" applyProtection="1">
      <alignment horizontal="left"/>
      <protection hidden="1"/>
    </xf>
    <xf numFmtId="167" fontId="18" fillId="17" borderId="0" xfId="12" applyNumberFormat="1" applyFont="1" applyFill="1" applyAlignment="1" applyProtection="1">
      <alignment horizontal="left" indent="1"/>
      <protection hidden="1"/>
    </xf>
    <xf numFmtId="167" fontId="18" fillId="17" borderId="0" xfId="12" applyNumberFormat="1" applyFont="1" applyFill="1" applyProtection="1">
      <protection hidden="1"/>
    </xf>
    <xf numFmtId="167" fontId="18" fillId="17" borderId="0" xfId="12" applyNumberFormat="1" applyFont="1" applyFill="1" applyAlignment="1" applyProtection="1">
      <alignment horizontal="center"/>
      <protection hidden="1"/>
    </xf>
    <xf numFmtId="167" fontId="24" fillId="17" borderId="0" xfId="12" applyNumberFormat="1" applyFont="1" applyFill="1" applyAlignment="1" applyProtection="1">
      <alignment vertical="center"/>
      <protection hidden="1"/>
    </xf>
    <xf numFmtId="167" fontId="24" fillId="17" borderId="0" xfId="12" applyNumberFormat="1" applyFont="1" applyFill="1" applyAlignment="1" applyProtection="1">
      <alignment horizontal="center" vertical="center"/>
      <protection hidden="1"/>
    </xf>
    <xf numFmtId="167" fontId="48" fillId="17" borderId="0" xfId="12" applyNumberFormat="1" applyFont="1" applyFill="1" applyAlignment="1" applyProtection="1">
      <alignment horizontal="left"/>
      <protection hidden="1"/>
    </xf>
    <xf numFmtId="164" fontId="14" fillId="17" borderId="0" xfId="13" applyNumberFormat="1" applyFont="1" applyFill="1" applyBorder="1" applyAlignment="1" applyProtection="1">
      <alignment horizontal="center"/>
      <protection hidden="1"/>
    </xf>
    <xf numFmtId="167" fontId="48" fillId="17" borderId="0" xfId="12" applyNumberFormat="1" applyFont="1" applyFill="1" applyAlignment="1" applyProtection="1">
      <alignment horizontal="center"/>
      <protection hidden="1"/>
    </xf>
    <xf numFmtId="167" fontId="21" fillId="17" borderId="0" xfId="0" applyNumberFormat="1" applyFont="1" applyFill="1" applyProtection="1">
      <protection hidden="1"/>
    </xf>
    <xf numFmtId="167" fontId="21" fillId="17" borderId="0" xfId="0" applyNumberFormat="1" applyFont="1" applyFill="1" applyAlignment="1" applyProtection="1">
      <alignment horizontal="center"/>
      <protection hidden="1"/>
    </xf>
    <xf numFmtId="167" fontId="9" fillId="17" borderId="0" xfId="0" applyNumberFormat="1" applyFont="1" applyFill="1" applyAlignment="1" applyProtection="1">
      <alignment horizontal="center"/>
      <protection hidden="1"/>
    </xf>
    <xf numFmtId="38" fontId="19" fillId="17" borderId="0" xfId="0" applyNumberFormat="1" applyFont="1" applyFill="1" applyAlignment="1" applyProtection="1">
      <alignment horizontal="left"/>
      <protection hidden="1"/>
    </xf>
    <xf numFmtId="2" fontId="9" fillId="17" borderId="0" xfId="10" applyNumberFormat="1" applyFont="1" applyFill="1" applyAlignment="1" applyProtection="1">
      <alignment horizontal="left"/>
      <protection hidden="1"/>
    </xf>
    <xf numFmtId="167" fontId="51" fillId="17" borderId="0" xfId="12" applyNumberFormat="1" applyFont="1" applyFill="1" applyProtection="1">
      <protection hidden="1"/>
    </xf>
    <xf numFmtId="164" fontId="9" fillId="17" borderId="0" xfId="10" applyNumberFormat="1" applyFont="1" applyFill="1" applyAlignment="1" applyProtection="1">
      <alignment horizontal="left"/>
      <protection hidden="1"/>
    </xf>
    <xf numFmtId="175" fontId="68" fillId="17" borderId="0" xfId="13" applyNumberFormat="1" applyFont="1" applyFill="1" applyBorder="1" applyAlignment="1" applyProtection="1">
      <alignment horizontal="left" indent="2"/>
      <protection hidden="1"/>
    </xf>
    <xf numFmtId="38" fontId="25" fillId="17" borderId="0" xfId="4" applyNumberFormat="1" applyFont="1" applyFill="1" applyProtection="1">
      <protection hidden="1"/>
    </xf>
    <xf numFmtId="0" fontId="42" fillId="17" borderId="0" xfId="10" applyFont="1" applyFill="1" applyProtection="1">
      <protection hidden="1"/>
    </xf>
    <xf numFmtId="38" fontId="72" fillId="17" borderId="0" xfId="5" applyNumberFormat="1" applyFont="1" applyFill="1" applyAlignment="1" applyProtection="1">
      <alignment horizontal="left"/>
      <protection hidden="1"/>
    </xf>
    <xf numFmtId="38" fontId="44" fillId="17" borderId="0" xfId="5" applyNumberFormat="1" applyFont="1" applyFill="1" applyAlignment="1" applyProtection="1">
      <alignment horizontal="right"/>
      <protection hidden="1"/>
    </xf>
    <xf numFmtId="38" fontId="7" fillId="17" borderId="0" xfId="0" applyNumberFormat="1" applyFont="1" applyFill="1" applyProtection="1">
      <protection hidden="1"/>
    </xf>
    <xf numFmtId="0" fontId="11" fillId="17" borderId="0" xfId="0" applyFont="1" applyFill="1" applyProtection="1">
      <protection hidden="1"/>
    </xf>
    <xf numFmtId="0" fontId="13" fillId="17" borderId="0" xfId="5" applyFont="1" applyFill="1" applyAlignment="1" applyProtection="1">
      <alignment horizontal="left" indent="1"/>
      <protection hidden="1"/>
    </xf>
    <xf numFmtId="38" fontId="1" fillId="17" borderId="0" xfId="0" applyNumberFormat="1" applyFont="1" applyFill="1" applyProtection="1">
      <protection hidden="1"/>
    </xf>
    <xf numFmtId="0" fontId="13" fillId="17" borderId="0" xfId="5" applyFont="1" applyFill="1" applyProtection="1">
      <protection hidden="1"/>
    </xf>
    <xf numFmtId="165" fontId="13" fillId="17" borderId="0" xfId="0" applyNumberFormat="1" applyFont="1" applyFill="1" applyAlignment="1" applyProtection="1">
      <alignment horizontal="left" indent="1"/>
      <protection hidden="1"/>
    </xf>
    <xf numFmtId="38" fontId="14" fillId="17" borderId="0" xfId="4" applyNumberFormat="1" applyFont="1" applyFill="1" applyAlignment="1" applyProtection="1">
      <alignment horizontal="center"/>
      <protection hidden="1"/>
    </xf>
    <xf numFmtId="0" fontId="13" fillId="17" borderId="0" xfId="5" applyFont="1" applyFill="1" applyAlignment="1" applyProtection="1">
      <alignment horizontal="left" indent="2"/>
      <protection hidden="1"/>
    </xf>
    <xf numFmtId="38" fontId="8" fillId="17" borderId="0" xfId="1" applyNumberFormat="1" applyFont="1" applyFill="1" applyAlignment="1" applyProtection="1">
      <alignment horizontal="center"/>
      <protection hidden="1"/>
    </xf>
    <xf numFmtId="38" fontId="35" fillId="17" borderId="0" xfId="4" applyNumberFormat="1" applyFont="1" applyFill="1" applyAlignment="1" applyProtection="1">
      <alignment horizontal="center"/>
      <protection hidden="1"/>
    </xf>
    <xf numFmtId="38" fontId="8" fillId="17" borderId="0" xfId="4" applyNumberFormat="1" applyFont="1" applyFill="1" applyAlignment="1" applyProtection="1">
      <alignment horizontal="center"/>
      <protection hidden="1"/>
    </xf>
    <xf numFmtId="38" fontId="8" fillId="17" borderId="0" xfId="1" applyNumberFormat="1" applyFont="1" applyFill="1" applyAlignment="1" applyProtection="1">
      <alignment horizontal="right"/>
      <protection hidden="1"/>
    </xf>
    <xf numFmtId="0" fontId="13" fillId="17" borderId="0" xfId="10" applyFont="1" applyFill="1" applyProtection="1">
      <protection hidden="1"/>
    </xf>
    <xf numFmtId="165" fontId="14" fillId="17" borderId="0" xfId="0" applyNumberFormat="1" applyFont="1" applyFill="1" applyProtection="1">
      <protection hidden="1"/>
    </xf>
    <xf numFmtId="165" fontId="83" fillId="17" borderId="0" xfId="0" applyNumberFormat="1" applyFont="1" applyFill="1" applyProtection="1">
      <protection hidden="1"/>
    </xf>
    <xf numFmtId="165" fontId="83" fillId="17" borderId="0" xfId="0" applyNumberFormat="1" applyFont="1" applyFill="1" applyAlignment="1" applyProtection="1">
      <alignment horizontal="center"/>
      <protection hidden="1"/>
    </xf>
    <xf numFmtId="0" fontId="13" fillId="17" borderId="0" xfId="5" applyFont="1" applyFill="1" applyAlignment="1" applyProtection="1">
      <alignment horizontal="left"/>
      <protection hidden="1"/>
    </xf>
    <xf numFmtId="0" fontId="13" fillId="17" borderId="0" xfId="5" applyFont="1" applyFill="1" applyAlignment="1" applyProtection="1">
      <alignment horizontal="center"/>
      <protection hidden="1"/>
    </xf>
    <xf numFmtId="38" fontId="49" fillId="17" borderId="0" xfId="5" applyNumberFormat="1" applyFont="1" applyFill="1" applyAlignment="1" applyProtection="1">
      <alignment vertical="center"/>
      <protection hidden="1"/>
    </xf>
    <xf numFmtId="165" fontId="11" fillId="17" borderId="0" xfId="0" applyNumberFormat="1" applyFont="1" applyFill="1" applyAlignment="1" applyProtection="1">
      <alignment horizontal="center"/>
      <protection hidden="1"/>
    </xf>
    <xf numFmtId="38" fontId="18" fillId="17" borderId="0" xfId="1" applyNumberFormat="1" applyFont="1" applyFill="1" applyAlignment="1" applyProtection="1">
      <alignment horizontal="center" vertical="top"/>
      <protection hidden="1"/>
    </xf>
    <xf numFmtId="165" fontId="18" fillId="17" borderId="0" xfId="0" applyNumberFormat="1" applyFont="1" applyFill="1" applyAlignment="1" applyProtection="1">
      <alignment vertical="top"/>
      <protection hidden="1"/>
    </xf>
    <xf numFmtId="0" fontId="18" fillId="17" borderId="0" xfId="5" applyFont="1" applyFill="1" applyAlignment="1" applyProtection="1">
      <alignment vertical="top"/>
      <protection hidden="1"/>
    </xf>
    <xf numFmtId="0" fontId="11" fillId="17" borderId="0" xfId="10" applyFont="1" applyFill="1" applyAlignment="1" applyProtection="1">
      <alignment horizontal="left" vertical="top"/>
      <protection hidden="1"/>
    </xf>
    <xf numFmtId="165" fontId="11" fillId="17" borderId="0" xfId="0" applyNumberFormat="1" applyFont="1" applyFill="1" applyAlignment="1" applyProtection="1">
      <alignment horizontal="left" vertical="top"/>
      <protection hidden="1"/>
    </xf>
    <xf numFmtId="165" fontId="11" fillId="17" borderId="0" xfId="0" applyNumberFormat="1" applyFont="1" applyFill="1" applyAlignment="1" applyProtection="1">
      <alignment vertical="top"/>
      <protection hidden="1"/>
    </xf>
    <xf numFmtId="0" fontId="11" fillId="17" borderId="0" xfId="5" applyFont="1" applyFill="1" applyAlignment="1" applyProtection="1">
      <alignment vertical="top"/>
      <protection hidden="1"/>
    </xf>
    <xf numFmtId="0" fontId="11" fillId="17" borderId="0" xfId="10" applyFont="1" applyFill="1" applyAlignment="1" applyProtection="1">
      <alignment vertical="top"/>
      <protection hidden="1"/>
    </xf>
    <xf numFmtId="0" fontId="11" fillId="17" borderId="0" xfId="10" applyFont="1" applyFill="1" applyAlignment="1" applyProtection="1">
      <alignment horizontal="center" vertical="top"/>
      <protection hidden="1"/>
    </xf>
    <xf numFmtId="169" fontId="11" fillId="17" borderId="0" xfId="10" applyNumberFormat="1" applyFont="1" applyFill="1" applyAlignment="1" applyProtection="1">
      <alignment horizontal="center" vertical="top"/>
      <protection hidden="1"/>
    </xf>
    <xf numFmtId="165" fontId="11" fillId="17" borderId="0" xfId="0" applyNumberFormat="1" applyFont="1" applyFill="1" applyAlignment="1" applyProtection="1">
      <alignment horizontal="center" vertical="top"/>
      <protection hidden="1"/>
    </xf>
    <xf numFmtId="166" fontId="11" fillId="17" borderId="0" xfId="10" applyNumberFormat="1" applyFont="1" applyFill="1" applyAlignment="1" applyProtection="1">
      <alignment vertical="top"/>
      <protection hidden="1"/>
    </xf>
    <xf numFmtId="166" fontId="11" fillId="17" borderId="0" xfId="10" applyNumberFormat="1" applyFont="1" applyFill="1" applyAlignment="1" applyProtection="1">
      <alignment horizontal="center" vertical="top"/>
      <protection hidden="1"/>
    </xf>
    <xf numFmtId="166" fontId="9" fillId="17" borderId="0" xfId="10" applyNumberFormat="1" applyFont="1" applyFill="1" applyAlignment="1" applyProtection="1">
      <alignment horizontal="center" vertical="top"/>
      <protection hidden="1"/>
    </xf>
    <xf numFmtId="0" fontId="9" fillId="17" borderId="0" xfId="10" applyFont="1" applyFill="1" applyAlignment="1" applyProtection="1">
      <alignment vertical="top"/>
      <protection hidden="1"/>
    </xf>
    <xf numFmtId="0" fontId="9" fillId="17" borderId="0" xfId="5" applyFont="1" applyFill="1" applyAlignment="1" applyProtection="1">
      <alignment vertical="top"/>
      <protection hidden="1"/>
    </xf>
    <xf numFmtId="0" fontId="9" fillId="17" borderId="0" xfId="5" applyFont="1" applyFill="1" applyAlignment="1" applyProtection="1">
      <alignment horizontal="right" vertical="top"/>
      <protection hidden="1"/>
    </xf>
    <xf numFmtId="38" fontId="9" fillId="17" borderId="0" xfId="1" applyNumberFormat="1" applyFont="1" applyFill="1" applyAlignment="1" applyProtection="1">
      <alignment vertical="top"/>
      <protection hidden="1"/>
    </xf>
    <xf numFmtId="165" fontId="11" fillId="17" borderId="0" xfId="0" applyNumberFormat="1" applyFont="1" applyFill="1" applyAlignment="1" applyProtection="1">
      <alignment horizontal="right" vertical="top"/>
      <protection hidden="1"/>
    </xf>
    <xf numFmtId="38" fontId="18" fillId="17" borderId="0" xfId="1" applyNumberFormat="1" applyFont="1" applyFill="1" applyAlignment="1" applyProtection="1">
      <alignment vertical="top"/>
      <protection hidden="1"/>
    </xf>
    <xf numFmtId="0" fontId="51" fillId="17" borderId="0" xfId="5" applyFont="1" applyFill="1" applyAlignment="1" applyProtection="1">
      <alignment vertical="top"/>
      <protection hidden="1"/>
    </xf>
    <xf numFmtId="38" fontId="51" fillId="17" borderId="0" xfId="1" applyNumberFormat="1" applyFont="1" applyFill="1" applyAlignment="1" applyProtection="1">
      <alignment vertical="top"/>
      <protection hidden="1"/>
    </xf>
    <xf numFmtId="38" fontId="18" fillId="17" borderId="0" xfId="1" applyNumberFormat="1" applyFont="1" applyFill="1" applyAlignment="1" applyProtection="1">
      <alignment horizontal="center" vertical="center"/>
      <protection hidden="1"/>
    </xf>
    <xf numFmtId="0" fontId="18" fillId="17" borderId="0" xfId="5" applyFont="1" applyFill="1" applyAlignment="1" applyProtection="1">
      <alignment vertical="center"/>
      <protection hidden="1"/>
    </xf>
    <xf numFmtId="165" fontId="9" fillId="17" borderId="0" xfId="0" quotePrefix="1" applyNumberFormat="1" applyFont="1" applyFill="1" applyProtection="1">
      <protection hidden="1"/>
    </xf>
    <xf numFmtId="165" fontId="31" fillId="17" borderId="0" xfId="0" applyNumberFormat="1" applyFont="1" applyFill="1" applyProtection="1">
      <protection hidden="1"/>
    </xf>
    <xf numFmtId="169" fontId="79" fillId="17" borderId="0" xfId="0" quotePrefix="1" applyNumberFormat="1" applyFont="1" applyFill="1" applyProtection="1">
      <protection hidden="1"/>
    </xf>
    <xf numFmtId="165" fontId="31" fillId="17" borderId="0" xfId="0" applyNumberFormat="1" applyFont="1" applyFill="1" applyAlignment="1" applyProtection="1">
      <alignment horizontal="left" vertical="center" indent="1"/>
      <protection hidden="1"/>
    </xf>
    <xf numFmtId="0" fontId="9" fillId="17" borderId="0" xfId="5" quotePrefix="1" applyFont="1" applyFill="1" applyProtection="1">
      <protection hidden="1"/>
    </xf>
    <xf numFmtId="165" fontId="13" fillId="17" borderId="0" xfId="0" applyNumberFormat="1" applyFont="1" applyFill="1" applyAlignment="1" applyProtection="1">
      <alignment horizontal="right"/>
      <protection hidden="1"/>
    </xf>
    <xf numFmtId="0" fontId="13" fillId="17" borderId="0" xfId="5" applyFont="1" applyFill="1" applyAlignment="1" applyProtection="1">
      <alignment vertical="top"/>
      <protection hidden="1"/>
    </xf>
    <xf numFmtId="2" fontId="33" fillId="17" borderId="0" xfId="5" applyNumberFormat="1" applyFont="1" applyFill="1" applyProtection="1">
      <protection hidden="1"/>
    </xf>
    <xf numFmtId="174" fontId="13" fillId="17" borderId="0" xfId="0" applyNumberFormat="1" applyFont="1" applyFill="1" applyProtection="1">
      <protection hidden="1"/>
    </xf>
    <xf numFmtId="0" fontId="31" fillId="17" borderId="0" xfId="5" applyFont="1" applyFill="1" applyProtection="1">
      <protection hidden="1"/>
    </xf>
    <xf numFmtId="0" fontId="13" fillId="17" borderId="0" xfId="5" applyFont="1" applyFill="1" applyAlignment="1" applyProtection="1">
      <alignment horizontal="right"/>
      <protection hidden="1"/>
    </xf>
    <xf numFmtId="0" fontId="18" fillId="17" borderId="0" xfId="5" applyFont="1" applyFill="1" applyAlignment="1" applyProtection="1">
      <alignment horizontal="right" vertical="center"/>
      <protection hidden="1"/>
    </xf>
    <xf numFmtId="0" fontId="14" fillId="17" borderId="0" xfId="5" applyFont="1" applyFill="1" applyProtection="1">
      <protection hidden="1"/>
    </xf>
    <xf numFmtId="0" fontId="18" fillId="20" borderId="9" xfId="5" applyFont="1" applyFill="1" applyBorder="1" applyAlignment="1" applyProtection="1">
      <alignment horizontal="left" vertical="center"/>
      <protection hidden="1"/>
    </xf>
    <xf numFmtId="0" fontId="18" fillId="20" borderId="9" xfId="5" applyFont="1" applyFill="1" applyBorder="1" applyAlignment="1" applyProtection="1">
      <alignment vertical="center"/>
      <protection hidden="1"/>
    </xf>
    <xf numFmtId="0" fontId="18" fillId="20" borderId="2" xfId="5" applyFont="1" applyFill="1" applyBorder="1" applyAlignment="1" applyProtection="1">
      <alignment vertical="center"/>
      <protection hidden="1"/>
    </xf>
    <xf numFmtId="38" fontId="9" fillId="17" borderId="0" xfId="1" applyNumberFormat="1" applyFont="1" applyFill="1" applyAlignment="1" applyProtection="1">
      <alignment vertical="center"/>
      <protection hidden="1"/>
    </xf>
    <xf numFmtId="38" fontId="83" fillId="17" borderId="0" xfId="1" applyNumberFormat="1" applyFont="1" applyFill="1" applyProtection="1">
      <protection hidden="1"/>
    </xf>
    <xf numFmtId="170" fontId="65" fillId="17" borderId="0" xfId="1" applyNumberFormat="1" applyFont="1" applyFill="1" applyProtection="1">
      <protection hidden="1"/>
    </xf>
    <xf numFmtId="38" fontId="62" fillId="17" borderId="0" xfId="1" applyNumberFormat="1" applyFont="1" applyFill="1" applyProtection="1">
      <protection hidden="1"/>
    </xf>
    <xf numFmtId="9" fontId="62" fillId="17" borderId="2" xfId="8" applyFont="1" applyFill="1" applyBorder="1" applyAlignment="1" applyProtection="1">
      <alignment horizontal="center"/>
      <protection hidden="1"/>
    </xf>
    <xf numFmtId="0" fontId="11" fillId="17" borderId="0" xfId="0" applyFont="1" applyFill="1" applyAlignment="1" applyProtection="1">
      <alignment horizontal="left" indent="1"/>
      <protection hidden="1"/>
    </xf>
    <xf numFmtId="38" fontId="11" fillId="17" borderId="0" xfId="0" applyNumberFormat="1" applyFont="1" applyFill="1" applyAlignment="1" applyProtection="1">
      <alignment horizontal="left" indent="1"/>
      <protection hidden="1"/>
    </xf>
    <xf numFmtId="38" fontId="10" fillId="17" borderId="0" xfId="0" applyNumberFormat="1" applyFont="1" applyFill="1" applyAlignment="1" applyProtection="1">
      <alignment horizontal="left"/>
      <protection hidden="1"/>
    </xf>
    <xf numFmtId="38" fontId="64" fillId="17" borderId="0" xfId="0" applyNumberFormat="1" applyFont="1" applyFill="1" applyAlignment="1" applyProtection="1">
      <alignment vertical="center"/>
      <protection hidden="1"/>
    </xf>
    <xf numFmtId="38" fontId="89" fillId="17" borderId="0" xfId="0" applyNumberFormat="1" applyFont="1" applyFill="1" applyAlignment="1" applyProtection="1">
      <alignment horizontal="center"/>
      <protection hidden="1"/>
    </xf>
    <xf numFmtId="38" fontId="25" fillId="17" borderId="0" xfId="0" applyNumberFormat="1" applyFont="1" applyFill="1" applyAlignment="1" applyProtection="1">
      <alignment vertical="center"/>
      <protection hidden="1"/>
    </xf>
    <xf numFmtId="0" fontId="9" fillId="17" borderId="0" xfId="0" quotePrefix="1" applyFont="1" applyFill="1" applyProtection="1">
      <protection hidden="1"/>
    </xf>
    <xf numFmtId="38" fontId="0" fillId="17" borderId="0" xfId="0" applyNumberFormat="1" applyFill="1" applyAlignment="1" applyProtection="1">
      <alignment horizontal="left"/>
      <protection hidden="1"/>
    </xf>
    <xf numFmtId="38" fontId="9" fillId="17" borderId="0" xfId="0" applyNumberFormat="1" applyFont="1" applyFill="1" applyAlignment="1" applyProtection="1">
      <alignment horizontal="left"/>
      <protection hidden="1"/>
    </xf>
    <xf numFmtId="38" fontId="80" fillId="17" borderId="0" xfId="1" applyNumberFormat="1" applyFont="1" applyFill="1" applyProtection="1">
      <protection hidden="1"/>
    </xf>
    <xf numFmtId="38" fontId="68" fillId="17" borderId="0" xfId="1" applyNumberFormat="1" applyFont="1" applyFill="1" applyAlignment="1" applyProtection="1">
      <alignment horizontal="center"/>
      <protection hidden="1"/>
    </xf>
    <xf numFmtId="9" fontId="0" fillId="17" borderId="0" xfId="13" applyFont="1" applyFill="1" applyBorder="1" applyAlignment="1" applyProtection="1">
      <alignment horizontal="left"/>
      <protection hidden="1"/>
    </xf>
    <xf numFmtId="9" fontId="0" fillId="17" borderId="0" xfId="13" applyFont="1" applyFill="1" applyBorder="1" applyAlignment="1" applyProtection="1">
      <alignment horizontal="center"/>
      <protection hidden="1"/>
    </xf>
    <xf numFmtId="0" fontId="0" fillId="17" borderId="0" xfId="0" applyFill="1" applyAlignment="1" applyProtection="1">
      <alignment horizontal="center"/>
      <protection hidden="1"/>
    </xf>
    <xf numFmtId="9" fontId="10" fillId="17" borderId="0" xfId="8" applyFont="1" applyFill="1" applyBorder="1" applyAlignment="1" applyProtection="1">
      <alignment horizontal="left"/>
      <protection hidden="1"/>
    </xf>
    <xf numFmtId="38" fontId="88" fillId="17" borderId="0" xfId="0" applyNumberFormat="1" applyFont="1" applyFill="1" applyAlignment="1" applyProtection="1">
      <alignment horizontal="left"/>
      <protection hidden="1"/>
    </xf>
    <xf numFmtId="38" fontId="62" fillId="17" borderId="0" xfId="1" applyNumberFormat="1" applyFont="1" applyFill="1" applyAlignment="1" applyProtection="1">
      <alignment horizontal="center"/>
      <protection hidden="1"/>
    </xf>
    <xf numFmtId="170" fontId="9" fillId="17" borderId="0" xfId="0" applyNumberFormat="1" applyFont="1" applyFill="1" applyAlignment="1" applyProtection="1">
      <alignment horizontal="left"/>
      <protection hidden="1"/>
    </xf>
    <xf numFmtId="179" fontId="9" fillId="17" borderId="0" xfId="1" applyNumberFormat="1" applyFont="1" applyFill="1" applyAlignment="1" applyProtection="1">
      <alignment horizontal="right"/>
      <protection hidden="1"/>
    </xf>
    <xf numFmtId="169" fontId="9" fillId="17" borderId="0" xfId="1" applyNumberFormat="1" applyFont="1" applyFill="1" applyAlignment="1" applyProtection="1">
      <alignment horizontal="left"/>
      <protection hidden="1"/>
    </xf>
    <xf numFmtId="14" fontId="9" fillId="17" borderId="0" xfId="1" applyNumberFormat="1" applyFont="1" applyFill="1" applyAlignment="1" applyProtection="1">
      <alignment horizontal="right"/>
      <protection hidden="1"/>
    </xf>
    <xf numFmtId="38" fontId="9" fillId="17" borderId="0" xfId="1" applyNumberFormat="1" applyFont="1" applyFill="1" applyAlignment="1" applyProtection="1">
      <alignment horizontal="left" vertical="top" indent="1"/>
      <protection hidden="1"/>
    </xf>
    <xf numFmtId="38" fontId="9" fillId="17" borderId="0" xfId="1" applyNumberFormat="1" applyFont="1" applyFill="1" applyAlignment="1" applyProtection="1">
      <alignment horizontal="left" vertical="center" indent="1"/>
      <protection hidden="1"/>
    </xf>
    <xf numFmtId="38" fontId="9" fillId="17" borderId="0" xfId="1" quotePrefix="1" applyNumberFormat="1" applyFont="1" applyFill="1" applyAlignment="1" applyProtection="1">
      <alignment horizontal="center"/>
      <protection hidden="1"/>
    </xf>
    <xf numFmtId="38" fontId="11" fillId="17" borderId="0" xfId="1" applyNumberFormat="1" applyFont="1" applyFill="1" applyAlignment="1" applyProtection="1">
      <alignment horizontal="left" indent="1"/>
      <protection hidden="1"/>
    </xf>
    <xf numFmtId="38" fontId="11" fillId="17" borderId="0" xfId="1" applyNumberFormat="1" applyFont="1" applyFill="1" applyAlignment="1" applyProtection="1">
      <alignment horizontal="left" vertical="center" indent="1"/>
      <protection hidden="1"/>
    </xf>
    <xf numFmtId="38" fontId="9" fillId="17" borderId="0" xfId="1" applyNumberFormat="1" applyFont="1" applyFill="1" applyAlignment="1" applyProtection="1">
      <alignment horizontal="left" vertical="center"/>
      <protection hidden="1"/>
    </xf>
    <xf numFmtId="38" fontId="9" fillId="17" borderId="0" xfId="1" quotePrefix="1" applyNumberFormat="1" applyFont="1" applyFill="1" applyAlignment="1" applyProtection="1">
      <alignment horizontal="left" vertical="center" indent="1"/>
      <protection hidden="1"/>
    </xf>
    <xf numFmtId="38" fontId="11" fillId="17" borderId="0" xfId="1" applyNumberFormat="1" applyFont="1" applyFill="1" applyAlignment="1" applyProtection="1">
      <alignment horizontal="right"/>
      <protection hidden="1"/>
    </xf>
    <xf numFmtId="165" fontId="72" fillId="17" borderId="0" xfId="0" applyNumberFormat="1" applyFont="1" applyFill="1" applyProtection="1">
      <protection hidden="1"/>
    </xf>
    <xf numFmtId="38" fontId="44" fillId="17" borderId="0" xfId="0" applyNumberFormat="1" applyFont="1" applyFill="1" applyAlignment="1" applyProtection="1">
      <alignment horizontal="left"/>
      <protection hidden="1"/>
    </xf>
    <xf numFmtId="38" fontId="44" fillId="17" borderId="0" xfId="0" applyNumberFormat="1" applyFont="1" applyFill="1" applyAlignment="1" applyProtection="1">
      <alignment horizontal="center"/>
      <protection hidden="1"/>
    </xf>
    <xf numFmtId="38" fontId="46" fillId="17" borderId="0" xfId="0" applyNumberFormat="1" applyFont="1" applyFill="1" applyAlignment="1" applyProtection="1">
      <alignment horizontal="center"/>
      <protection hidden="1"/>
    </xf>
    <xf numFmtId="38" fontId="46" fillId="17" borderId="0" xfId="0" applyNumberFormat="1" applyFont="1" applyFill="1" applyAlignment="1" applyProtection="1">
      <alignment horizontal="left"/>
      <protection hidden="1"/>
    </xf>
    <xf numFmtId="38" fontId="44" fillId="17" borderId="0" xfId="0" applyNumberFormat="1" applyFont="1" applyFill="1" applyAlignment="1" applyProtection="1">
      <alignment horizontal="right"/>
      <protection hidden="1"/>
    </xf>
    <xf numFmtId="38" fontId="9" fillId="17" borderId="0" xfId="1" applyNumberFormat="1" applyFont="1" applyFill="1" applyAlignment="1" applyProtection="1">
      <alignment horizontal="right" vertical="top"/>
      <protection hidden="1"/>
    </xf>
    <xf numFmtId="38" fontId="14" fillId="17" borderId="0" xfId="1" applyNumberFormat="1" applyFont="1" applyFill="1" applyAlignment="1" applyProtection="1">
      <alignment horizontal="left"/>
      <protection hidden="1"/>
    </xf>
    <xf numFmtId="38" fontId="14" fillId="17" borderId="0" xfId="4" applyNumberFormat="1" applyFont="1" applyFill="1" applyAlignment="1" applyProtection="1">
      <alignment horizontal="right" indent="1"/>
      <protection hidden="1"/>
    </xf>
    <xf numFmtId="38" fontId="9" fillId="17" borderId="0" xfId="1" applyNumberFormat="1" applyFont="1" applyFill="1" applyAlignment="1" applyProtection="1">
      <alignment horizontal="right" vertical="center"/>
      <protection hidden="1"/>
    </xf>
    <xf numFmtId="38" fontId="9" fillId="17" borderId="0" xfId="1" applyNumberFormat="1" applyFont="1" applyFill="1" applyAlignment="1" applyProtection="1">
      <alignment horizontal="center" vertical="top"/>
      <protection hidden="1"/>
    </xf>
    <xf numFmtId="38" fontId="13" fillId="17" borderId="0" xfId="1" applyNumberFormat="1" applyFont="1" applyFill="1" applyAlignment="1" applyProtection="1">
      <alignment horizontal="left" vertical="top"/>
      <protection hidden="1"/>
    </xf>
    <xf numFmtId="38" fontId="9" fillId="17" borderId="0" xfId="1" applyNumberFormat="1" applyFont="1" applyFill="1" applyAlignment="1" applyProtection="1">
      <alignment horizontal="left" vertical="top"/>
      <protection hidden="1"/>
    </xf>
    <xf numFmtId="38" fontId="83" fillId="17" borderId="0" xfId="1" applyNumberFormat="1" applyFont="1" applyFill="1" applyAlignment="1" applyProtection="1">
      <alignment horizontal="left" vertical="top"/>
      <protection hidden="1"/>
    </xf>
    <xf numFmtId="38" fontId="11" fillId="17" borderId="0" xfId="1" applyNumberFormat="1" applyFont="1" applyFill="1" applyAlignment="1" applyProtection="1">
      <alignment horizontal="left" vertical="top"/>
      <protection hidden="1"/>
    </xf>
    <xf numFmtId="0" fontId="49" fillId="17" borderId="0" xfId="0" applyFont="1" applyFill="1" applyAlignment="1" applyProtection="1">
      <alignment horizontal="left" indent="1"/>
      <protection hidden="1"/>
    </xf>
    <xf numFmtId="38" fontId="10" fillId="17" borderId="0" xfId="0" applyNumberFormat="1" applyFont="1" applyFill="1" applyAlignment="1" applyProtection="1">
      <alignment horizontal="left" vertical="top" indent="1"/>
      <protection hidden="1"/>
    </xf>
    <xf numFmtId="0" fontId="10" fillId="17" borderId="0" xfId="0" applyFont="1" applyFill="1" applyAlignment="1" applyProtection="1">
      <alignment horizontal="left" indent="2"/>
      <protection hidden="1"/>
    </xf>
    <xf numFmtId="38" fontId="9" fillId="17" borderId="0" xfId="1" applyNumberFormat="1" applyFont="1" applyFill="1" applyAlignment="1" applyProtection="1">
      <alignment horizontal="left" indent="2"/>
      <protection hidden="1"/>
    </xf>
    <xf numFmtId="0" fontId="49" fillId="17" borderId="0" xfId="0" applyFont="1" applyFill="1" applyAlignment="1" applyProtection="1">
      <alignment horizontal="left" indent="2"/>
      <protection hidden="1"/>
    </xf>
    <xf numFmtId="0" fontId="13" fillId="17" borderId="0" xfId="0" applyFont="1" applyFill="1" applyAlignment="1" applyProtection="1">
      <alignment vertical="center"/>
      <protection hidden="1"/>
    </xf>
    <xf numFmtId="167" fontId="18" fillId="17" borderId="0" xfId="11" applyNumberFormat="1" applyFont="1" applyFill="1" applyProtection="1">
      <protection hidden="1"/>
    </xf>
    <xf numFmtId="0" fontId="22" fillId="17" borderId="0" xfId="0" applyFont="1" applyFill="1" applyProtection="1">
      <protection hidden="1"/>
    </xf>
    <xf numFmtId="38" fontId="50" fillId="20" borderId="4" xfId="1" applyNumberFormat="1" applyFont="1" applyFill="1" applyBorder="1" applyProtection="1">
      <protection hidden="1"/>
    </xf>
    <xf numFmtId="38" fontId="71" fillId="20" borderId="4" xfId="1" applyNumberFormat="1" applyFont="1" applyFill="1" applyBorder="1" applyProtection="1">
      <protection hidden="1"/>
    </xf>
    <xf numFmtId="172" fontId="71" fillId="20" borderId="4" xfId="1" applyNumberFormat="1" applyFont="1" applyFill="1" applyBorder="1" applyAlignment="1" applyProtection="1">
      <alignment horizontal="left"/>
      <protection hidden="1"/>
    </xf>
    <xf numFmtId="38" fontId="67" fillId="20" borderId="8" xfId="1" applyNumberFormat="1" applyFont="1" applyFill="1" applyBorder="1" applyProtection="1">
      <protection hidden="1"/>
    </xf>
    <xf numFmtId="38" fontId="67" fillId="20" borderId="5" xfId="1" applyNumberFormat="1" applyFont="1" applyFill="1" applyBorder="1" applyProtection="1">
      <protection hidden="1"/>
    </xf>
    <xf numFmtId="172" fontId="71" fillId="20" borderId="8" xfId="1" applyNumberFormat="1" applyFont="1" applyFill="1" applyBorder="1" applyAlignment="1" applyProtection="1">
      <alignment horizontal="left"/>
      <protection hidden="1"/>
    </xf>
    <xf numFmtId="38" fontId="69" fillId="20" borderId="4" xfId="1" applyNumberFormat="1" applyFont="1" applyFill="1" applyBorder="1" applyProtection="1">
      <protection hidden="1"/>
    </xf>
    <xf numFmtId="38" fontId="69" fillId="20" borderId="5" xfId="1" applyNumberFormat="1" applyFont="1" applyFill="1" applyBorder="1" applyProtection="1">
      <protection hidden="1"/>
    </xf>
    <xf numFmtId="172" fontId="71" fillId="20" borderId="5" xfId="1" applyNumberFormat="1" applyFont="1" applyFill="1" applyBorder="1" applyAlignment="1" applyProtection="1">
      <alignment horizontal="left"/>
      <protection hidden="1"/>
    </xf>
    <xf numFmtId="38" fontId="50" fillId="20" borderId="5" xfId="1" applyNumberFormat="1" applyFont="1" applyFill="1" applyBorder="1" applyProtection="1">
      <protection hidden="1"/>
    </xf>
    <xf numFmtId="38" fontId="71" fillId="20" borderId="8" xfId="1" applyNumberFormat="1" applyFont="1" applyFill="1" applyBorder="1" applyProtection="1">
      <protection hidden="1"/>
    </xf>
    <xf numFmtId="172" fontId="71" fillId="20" borderId="14" xfId="1" applyNumberFormat="1" applyFont="1" applyFill="1" applyBorder="1" applyAlignment="1" applyProtection="1">
      <alignment horizontal="left"/>
      <protection hidden="1"/>
    </xf>
    <xf numFmtId="177" fontId="9" fillId="17" borderId="0" xfId="8" applyNumberFormat="1" applyFont="1" applyFill="1" applyBorder="1" applyAlignment="1" applyProtection="1">
      <protection hidden="1"/>
    </xf>
    <xf numFmtId="38" fontId="50" fillId="20" borderId="14" xfId="1" applyNumberFormat="1" applyFont="1" applyFill="1" applyBorder="1" applyProtection="1">
      <protection hidden="1"/>
    </xf>
    <xf numFmtId="38" fontId="67" fillId="20" borderId="4" xfId="1" applyNumberFormat="1" applyFont="1" applyFill="1" applyBorder="1" applyProtection="1">
      <protection hidden="1"/>
    </xf>
    <xf numFmtId="38" fontId="50" fillId="20" borderId="8" xfId="1" applyNumberFormat="1" applyFont="1" applyFill="1" applyBorder="1" applyProtection="1">
      <protection hidden="1"/>
    </xf>
    <xf numFmtId="38" fontId="9" fillId="20" borderId="9" xfId="5" applyNumberFormat="1" applyFont="1" applyFill="1" applyBorder="1" applyAlignment="1" applyProtection="1">
      <alignment horizontal="left"/>
      <protection hidden="1"/>
    </xf>
    <xf numFmtId="38" fontId="9" fillId="20" borderId="3" xfId="5" applyNumberFormat="1" applyFont="1" applyFill="1" applyBorder="1" applyAlignment="1" applyProtection="1">
      <alignment horizontal="left" indent="1"/>
      <protection hidden="1"/>
    </xf>
    <xf numFmtId="167" fontId="9" fillId="20" borderId="3" xfId="5" applyNumberFormat="1" applyFont="1" applyFill="1" applyBorder="1" applyAlignment="1" applyProtection="1">
      <alignment horizontal="left" indent="1"/>
      <protection hidden="1"/>
    </xf>
    <xf numFmtId="170" fontId="11" fillId="20" borderId="0" xfId="5" applyNumberFormat="1" applyFont="1" applyFill="1" applyAlignment="1" applyProtection="1">
      <alignment horizontal="left" vertical="center"/>
      <protection hidden="1"/>
    </xf>
    <xf numFmtId="38" fontId="9" fillId="20" borderId="2" xfId="5" applyNumberFormat="1" applyFont="1" applyFill="1" applyBorder="1" applyAlignment="1" applyProtection="1">
      <alignment horizontal="left" indent="1"/>
      <protection hidden="1"/>
    </xf>
    <xf numFmtId="38" fontId="9" fillId="20" borderId="7" xfId="1" applyNumberFormat="1" applyFont="1" applyFill="1" applyBorder="1" applyAlignment="1" applyProtection="1">
      <alignment horizontal="left" indent="1"/>
      <protection hidden="1"/>
    </xf>
    <xf numFmtId="38" fontId="9" fillId="20" borderId="12" xfId="5" applyNumberFormat="1" applyFont="1" applyFill="1" applyBorder="1" applyProtection="1">
      <protection hidden="1"/>
    </xf>
    <xf numFmtId="38" fontId="31" fillId="20" borderId="18" xfId="5" applyNumberFormat="1" applyFont="1" applyFill="1" applyBorder="1" applyAlignment="1" applyProtection="1">
      <alignment horizontal="left" indent="1"/>
      <protection hidden="1"/>
    </xf>
    <xf numFmtId="38" fontId="31" fillId="20" borderId="7" xfId="5" applyNumberFormat="1" applyFont="1" applyFill="1" applyBorder="1" applyAlignment="1" applyProtection="1">
      <alignment horizontal="left" indent="1"/>
      <protection hidden="1"/>
    </xf>
    <xf numFmtId="38" fontId="9" fillId="20" borderId="12" xfId="1" applyNumberFormat="1" applyFont="1" applyFill="1" applyBorder="1" applyAlignment="1" applyProtection="1">
      <alignment horizontal="left" indent="1"/>
      <protection hidden="1"/>
    </xf>
    <xf numFmtId="38" fontId="9" fillId="20" borderId="2" xfId="1" applyNumberFormat="1" applyFont="1" applyFill="1" applyBorder="1" applyAlignment="1" applyProtection="1">
      <alignment horizontal="left" indent="1"/>
      <protection hidden="1"/>
    </xf>
    <xf numFmtId="38" fontId="9" fillId="17" borderId="0" xfId="10" quotePrefix="1" applyNumberFormat="1" applyFont="1" applyFill="1" applyAlignment="1" applyProtection="1">
      <alignment vertical="top"/>
      <protection hidden="1"/>
    </xf>
    <xf numFmtId="175" fontId="9" fillId="17" borderId="0" xfId="13" applyNumberFormat="1" applyFont="1" applyFill="1" applyBorder="1" applyAlignment="1" applyProtection="1">
      <protection hidden="1"/>
    </xf>
    <xf numFmtId="167" fontId="51" fillId="17" borderId="0" xfId="12" applyNumberFormat="1" applyFont="1" applyFill="1" applyAlignment="1" applyProtection="1">
      <alignment horizontal="left" vertical="center" indent="1"/>
      <protection hidden="1"/>
    </xf>
    <xf numFmtId="167" fontId="51" fillId="17" borderId="0" xfId="12" applyNumberFormat="1" applyFont="1" applyFill="1" applyAlignment="1" applyProtection="1">
      <alignment horizontal="center" vertical="center"/>
      <protection hidden="1"/>
    </xf>
    <xf numFmtId="164" fontId="27" fillId="17" borderId="0" xfId="13" applyNumberFormat="1" applyFont="1" applyFill="1" applyBorder="1" applyAlignment="1" applyProtection="1">
      <alignment horizontal="center"/>
      <protection hidden="1"/>
    </xf>
    <xf numFmtId="38" fontId="20" fillId="17" borderId="0" xfId="0" applyNumberFormat="1" applyFont="1" applyFill="1" applyAlignment="1" applyProtection="1">
      <alignment horizontal="center"/>
      <protection hidden="1"/>
    </xf>
    <xf numFmtId="167" fontId="21" fillId="17" borderId="0" xfId="12" applyNumberFormat="1" applyFont="1" applyFill="1" applyAlignment="1" applyProtection="1">
      <alignment horizontal="left" vertical="center"/>
      <protection hidden="1"/>
    </xf>
    <xf numFmtId="167" fontId="13" fillId="17" borderId="0" xfId="12" applyNumberFormat="1" applyFont="1" applyFill="1" applyAlignment="1" applyProtection="1">
      <alignment horizontal="left" vertical="center"/>
      <protection hidden="1"/>
    </xf>
    <xf numFmtId="0" fontId="27" fillId="17" borderId="0" xfId="13" applyNumberFormat="1" applyFont="1" applyFill="1" applyBorder="1" applyAlignment="1" applyProtection="1">
      <alignment horizontal="center"/>
      <protection hidden="1"/>
    </xf>
    <xf numFmtId="1" fontId="27" fillId="17" borderId="0" xfId="13" applyNumberFormat="1" applyFont="1" applyFill="1" applyBorder="1" applyAlignment="1" applyProtection="1">
      <alignment horizontal="center"/>
      <protection hidden="1"/>
    </xf>
    <xf numFmtId="164" fontId="9" fillId="17" borderId="0" xfId="10" applyNumberFormat="1" applyFont="1" applyFill="1" applyProtection="1">
      <protection hidden="1"/>
    </xf>
    <xf numFmtId="9" fontId="9" fillId="17" borderId="0" xfId="8" applyFont="1" applyFill="1" applyBorder="1" applyAlignment="1" applyProtection="1">
      <protection hidden="1"/>
    </xf>
    <xf numFmtId="165" fontId="30" fillId="20" borderId="9" xfId="0" applyNumberFormat="1" applyFont="1" applyFill="1" applyBorder="1" applyAlignment="1" applyProtection="1">
      <alignment horizontal="center"/>
      <protection hidden="1"/>
    </xf>
    <xf numFmtId="0" fontId="9" fillId="20" borderId="9" xfId="10" applyFont="1" applyFill="1" applyBorder="1" applyAlignment="1" applyProtection="1">
      <alignment horizontal="left"/>
      <protection hidden="1"/>
    </xf>
    <xf numFmtId="0" fontId="51" fillId="20" borderId="6" xfId="10" applyFont="1" applyFill="1" applyBorder="1" applyAlignment="1" applyProtection="1">
      <alignment horizontal="left" indent="1"/>
      <protection hidden="1"/>
    </xf>
    <xf numFmtId="0" fontId="13" fillId="20" borderId="9" xfId="5" applyFont="1" applyFill="1" applyBorder="1" applyProtection="1">
      <protection hidden="1"/>
    </xf>
    <xf numFmtId="165" fontId="30" fillId="20" borderId="0" xfId="0" applyNumberFormat="1" applyFont="1" applyFill="1" applyAlignment="1" applyProtection="1">
      <alignment horizontal="center"/>
      <protection hidden="1"/>
    </xf>
    <xf numFmtId="0" fontId="9" fillId="20" borderId="0" xfId="10" applyFont="1" applyFill="1" applyAlignment="1" applyProtection="1">
      <alignment horizontal="left"/>
      <protection hidden="1"/>
    </xf>
    <xf numFmtId="165" fontId="9" fillId="20" borderId="3" xfId="0" applyNumberFormat="1" applyFont="1" applyFill="1" applyBorder="1" applyAlignment="1" applyProtection="1">
      <alignment horizontal="left" indent="1"/>
      <protection hidden="1"/>
    </xf>
    <xf numFmtId="165" fontId="9" fillId="20" borderId="3" xfId="0" applyNumberFormat="1" applyFont="1" applyFill="1" applyBorder="1" applyAlignment="1" applyProtection="1">
      <alignment horizontal="left" vertical="center" indent="1"/>
      <protection hidden="1"/>
    </xf>
    <xf numFmtId="0" fontId="13" fillId="20" borderId="0" xfId="10" applyFont="1" applyFill="1" applyAlignment="1" applyProtection="1">
      <alignment vertical="center"/>
      <protection hidden="1"/>
    </xf>
    <xf numFmtId="0" fontId="51" fillId="20" borderId="3" xfId="10" applyFont="1" applyFill="1" applyBorder="1" applyAlignment="1" applyProtection="1">
      <alignment horizontal="left" indent="1"/>
      <protection hidden="1"/>
    </xf>
    <xf numFmtId="165" fontId="51" fillId="20" borderId="0" xfId="0" applyNumberFormat="1" applyFont="1" applyFill="1" applyProtection="1">
      <protection hidden="1"/>
    </xf>
    <xf numFmtId="169" fontId="30" fillId="20" borderId="12" xfId="10" applyNumberFormat="1" applyFont="1" applyFill="1" applyBorder="1" applyAlignment="1" applyProtection="1">
      <alignment horizontal="center"/>
      <protection hidden="1"/>
    </xf>
    <xf numFmtId="0" fontId="13" fillId="20" borderId="3" xfId="10" quotePrefix="1" applyFont="1" applyFill="1" applyBorder="1" applyAlignment="1" applyProtection="1">
      <alignment horizontal="left" indent="1"/>
      <protection hidden="1"/>
    </xf>
    <xf numFmtId="169" fontId="13" fillId="20" borderId="0" xfId="10" applyNumberFormat="1" applyFont="1" applyFill="1" applyAlignment="1" applyProtection="1">
      <alignment horizontal="center"/>
      <protection hidden="1"/>
    </xf>
    <xf numFmtId="0" fontId="13" fillId="20" borderId="3" xfId="5" applyFont="1" applyFill="1" applyBorder="1" applyProtection="1">
      <protection hidden="1"/>
    </xf>
    <xf numFmtId="0" fontId="13" fillId="20" borderId="2" xfId="10" applyFont="1" applyFill="1" applyBorder="1" applyAlignment="1" applyProtection="1">
      <alignment horizontal="center"/>
      <protection hidden="1"/>
    </xf>
    <xf numFmtId="0" fontId="13" fillId="20" borderId="2" xfId="10" applyFont="1" applyFill="1" applyBorder="1" applyProtection="1">
      <protection hidden="1"/>
    </xf>
    <xf numFmtId="0" fontId="13" fillId="20" borderId="7" xfId="5" applyFont="1" applyFill="1" applyBorder="1" applyProtection="1">
      <protection hidden="1"/>
    </xf>
    <xf numFmtId="0" fontId="36" fillId="20" borderId="2" xfId="5" applyFont="1" applyFill="1" applyBorder="1" applyAlignment="1" applyProtection="1">
      <alignment horizontal="left" vertical="center"/>
      <protection hidden="1"/>
    </xf>
    <xf numFmtId="165" fontId="9" fillId="17" borderId="0" xfId="0" applyNumberFormat="1" applyFont="1" applyFill="1" applyProtection="1">
      <protection hidden="1"/>
    </xf>
    <xf numFmtId="0" fontId="9" fillId="17" borderId="0" xfId="10" applyFont="1" applyFill="1" applyAlignment="1" applyProtection="1">
      <alignment horizontal="center"/>
      <protection hidden="1"/>
    </xf>
    <xf numFmtId="165" fontId="51" fillId="17" borderId="0" xfId="0" applyNumberFormat="1" applyFont="1" applyFill="1" applyAlignment="1" applyProtection="1">
      <alignment vertical="center"/>
      <protection hidden="1"/>
    </xf>
    <xf numFmtId="0" fontId="10" fillId="17" borderId="0" xfId="0" quotePrefix="1" applyFont="1" applyFill="1" applyProtection="1">
      <protection hidden="1"/>
    </xf>
    <xf numFmtId="0" fontId="10" fillId="17" borderId="0" xfId="0" quotePrefix="1" applyFont="1" applyFill="1" applyAlignment="1" applyProtection="1">
      <alignment horizontal="left"/>
      <protection hidden="1"/>
    </xf>
    <xf numFmtId="38" fontId="22" fillId="17" borderId="0" xfId="1" applyNumberFormat="1" applyFont="1" applyFill="1" applyProtection="1">
      <protection hidden="1"/>
    </xf>
    <xf numFmtId="0" fontId="75" fillId="17" borderId="0" xfId="0" applyFont="1" applyFill="1" applyProtection="1">
      <protection hidden="1"/>
    </xf>
    <xf numFmtId="0" fontId="74" fillId="17" borderId="0" xfId="0" applyFont="1" applyFill="1" applyProtection="1">
      <protection hidden="1"/>
    </xf>
    <xf numFmtId="38" fontId="9" fillId="20" borderId="6" xfId="4" applyNumberFormat="1" applyFont="1" applyFill="1" applyBorder="1" applyAlignment="1" applyProtection="1">
      <alignment horizontal="left" indent="1"/>
      <protection hidden="1"/>
    </xf>
    <xf numFmtId="38" fontId="9" fillId="20" borderId="9" xfId="1" applyNumberFormat="1" applyFont="1" applyFill="1" applyBorder="1" applyAlignment="1" applyProtection="1">
      <alignment horizontal="right"/>
      <protection hidden="1"/>
    </xf>
    <xf numFmtId="38" fontId="9" fillId="20" borderId="4" xfId="1" applyNumberFormat="1" applyFont="1" applyFill="1" applyBorder="1" applyAlignment="1" applyProtection="1">
      <alignment horizontal="right" indent="1"/>
      <protection hidden="1"/>
    </xf>
    <xf numFmtId="170" fontId="9" fillId="20" borderId="6" xfId="1" applyNumberFormat="1" applyFont="1" applyFill="1" applyBorder="1" applyAlignment="1" applyProtection="1">
      <alignment horizontal="left" indent="2"/>
      <protection hidden="1"/>
    </xf>
    <xf numFmtId="170" fontId="9" fillId="20" borderId="9" xfId="1" applyNumberFormat="1" applyFont="1" applyFill="1" applyBorder="1" applyAlignment="1" applyProtection="1">
      <alignment horizontal="right" indent="1"/>
      <protection hidden="1"/>
    </xf>
    <xf numFmtId="170" fontId="9" fillId="20" borderId="4" xfId="1" applyNumberFormat="1" applyFont="1" applyFill="1" applyBorder="1" applyAlignment="1" applyProtection="1">
      <alignment horizontal="right" indent="1"/>
      <protection hidden="1"/>
    </xf>
    <xf numFmtId="38" fontId="9" fillId="20" borderId="4" xfId="1" applyNumberFormat="1" applyFont="1" applyFill="1" applyBorder="1" applyProtection="1">
      <protection hidden="1"/>
    </xf>
    <xf numFmtId="164" fontId="9" fillId="20" borderId="27" xfId="8" applyNumberFormat="1" applyFont="1" applyFill="1" applyBorder="1" applyAlignment="1" applyProtection="1">
      <alignment horizontal="center"/>
      <protection hidden="1"/>
    </xf>
    <xf numFmtId="38" fontId="9" fillId="20" borderId="18" xfId="4" applyNumberFormat="1" applyFont="1" applyFill="1" applyBorder="1" applyAlignment="1" applyProtection="1">
      <alignment horizontal="left" indent="2"/>
      <protection hidden="1"/>
    </xf>
    <xf numFmtId="38" fontId="9" fillId="20" borderId="12" xfId="1" applyNumberFormat="1" applyFont="1" applyFill="1" applyBorder="1" applyAlignment="1" applyProtection="1">
      <alignment horizontal="right"/>
      <protection hidden="1"/>
    </xf>
    <xf numFmtId="38" fontId="9" fillId="20" borderId="15" xfId="1" applyNumberFormat="1" applyFont="1" applyFill="1" applyBorder="1" applyAlignment="1" applyProtection="1">
      <alignment horizontal="right" indent="1"/>
      <protection hidden="1"/>
    </xf>
    <xf numFmtId="170" fontId="9" fillId="20" borderId="3" xfId="1" applyNumberFormat="1" applyFont="1" applyFill="1" applyBorder="1" applyAlignment="1" applyProtection="1">
      <alignment horizontal="left" indent="2"/>
      <protection hidden="1"/>
    </xf>
    <xf numFmtId="170" fontId="9" fillId="20" borderId="0" xfId="1" applyNumberFormat="1" applyFont="1" applyFill="1" applyAlignment="1" applyProtection="1">
      <alignment horizontal="right" indent="1"/>
      <protection hidden="1"/>
    </xf>
    <xf numFmtId="170" fontId="9" fillId="20" borderId="5" xfId="1" applyNumberFormat="1" applyFont="1" applyFill="1" applyBorder="1" applyAlignment="1" applyProtection="1">
      <alignment horizontal="right" indent="1"/>
      <protection hidden="1"/>
    </xf>
    <xf numFmtId="38" fontId="9" fillId="20" borderId="5" xfId="1" applyNumberFormat="1" applyFont="1" applyFill="1" applyBorder="1" applyProtection="1">
      <protection hidden="1"/>
    </xf>
    <xf numFmtId="164" fontId="9" fillId="20" borderId="28" xfId="8" applyNumberFormat="1" applyFont="1" applyFill="1" applyBorder="1" applyAlignment="1" applyProtection="1">
      <alignment horizontal="center"/>
      <protection hidden="1"/>
    </xf>
    <xf numFmtId="38" fontId="9" fillId="20" borderId="3" xfId="4" applyNumberFormat="1" applyFont="1" applyFill="1" applyBorder="1" applyAlignment="1" applyProtection="1">
      <alignment horizontal="left" indent="1"/>
      <protection hidden="1"/>
    </xf>
    <xf numFmtId="38" fontId="9" fillId="20" borderId="0" xfId="1" applyNumberFormat="1" applyFont="1" applyFill="1" applyAlignment="1" applyProtection="1">
      <alignment horizontal="right"/>
      <protection hidden="1"/>
    </xf>
    <xf numFmtId="38" fontId="9" fillId="20" borderId="5" xfId="1" applyNumberFormat="1" applyFont="1" applyFill="1" applyBorder="1" applyAlignment="1" applyProtection="1">
      <alignment horizontal="right" indent="1"/>
      <protection hidden="1"/>
    </xf>
    <xf numFmtId="170" fontId="9" fillId="20" borderId="18" xfId="1" applyNumberFormat="1" applyFont="1" applyFill="1" applyBorder="1" applyAlignment="1" applyProtection="1">
      <alignment horizontal="left" indent="2"/>
      <protection hidden="1"/>
    </xf>
    <xf numFmtId="170" fontId="9" fillId="20" borderId="12" xfId="1" applyNumberFormat="1" applyFont="1" applyFill="1" applyBorder="1" applyAlignment="1" applyProtection="1">
      <alignment horizontal="right" indent="1"/>
      <protection hidden="1"/>
    </xf>
    <xf numFmtId="170" fontId="9" fillId="20" borderId="15" xfId="1" applyNumberFormat="1" applyFont="1" applyFill="1" applyBorder="1" applyAlignment="1" applyProtection="1">
      <alignment horizontal="right" indent="1"/>
      <protection hidden="1"/>
    </xf>
    <xf numFmtId="9" fontId="9" fillId="20" borderId="29" xfId="8" applyFont="1" applyFill="1" applyBorder="1" applyAlignment="1" applyProtection="1">
      <alignment horizontal="center"/>
      <protection hidden="1"/>
    </xf>
    <xf numFmtId="38" fontId="9" fillId="20" borderId="3" xfId="4" applyNumberFormat="1" applyFont="1" applyFill="1" applyBorder="1" applyAlignment="1" applyProtection="1">
      <alignment horizontal="left" indent="2"/>
      <protection hidden="1"/>
    </xf>
    <xf numFmtId="170" fontId="9" fillId="20" borderId="3" xfId="4" applyNumberFormat="1" applyFont="1" applyFill="1" applyBorder="1" applyAlignment="1" applyProtection="1">
      <alignment horizontal="left" indent="1"/>
      <protection hidden="1"/>
    </xf>
    <xf numFmtId="170" fontId="9" fillId="20" borderId="3" xfId="1" applyNumberFormat="1" applyFont="1" applyFill="1" applyBorder="1" applyAlignment="1" applyProtection="1">
      <alignment horizontal="left" indent="3"/>
      <protection hidden="1"/>
    </xf>
    <xf numFmtId="170" fontId="9" fillId="20" borderId="18" xfId="1" applyNumberFormat="1" applyFont="1" applyFill="1" applyBorder="1" applyAlignment="1" applyProtection="1">
      <alignment horizontal="left" indent="3"/>
      <protection hidden="1"/>
    </xf>
    <xf numFmtId="38" fontId="9" fillId="20" borderId="15" xfId="1" applyNumberFormat="1" applyFont="1" applyFill="1" applyBorder="1" applyProtection="1">
      <protection hidden="1"/>
    </xf>
    <xf numFmtId="170" fontId="9" fillId="20" borderId="18" xfId="4" applyNumberFormat="1" applyFont="1" applyFill="1" applyBorder="1" applyAlignment="1" applyProtection="1">
      <alignment horizontal="left" indent="1"/>
      <protection hidden="1"/>
    </xf>
    <xf numFmtId="170" fontId="9" fillId="20" borderId="3" xfId="4" applyNumberFormat="1" applyFont="1" applyFill="1" applyBorder="1" applyAlignment="1" applyProtection="1">
      <alignment horizontal="left" vertical="top" indent="1"/>
      <protection hidden="1"/>
    </xf>
    <xf numFmtId="170" fontId="9" fillId="20" borderId="0" xfId="1" applyNumberFormat="1" applyFont="1" applyFill="1" applyAlignment="1" applyProtection="1">
      <alignment horizontal="right" vertical="top" indent="1"/>
      <protection hidden="1"/>
    </xf>
    <xf numFmtId="170" fontId="9" fillId="20" borderId="18" xfId="4" applyNumberFormat="1" applyFont="1" applyFill="1" applyBorder="1" applyAlignment="1" applyProtection="1">
      <alignment horizontal="left" indent="2"/>
      <protection hidden="1"/>
    </xf>
    <xf numFmtId="38" fontId="9" fillId="20" borderId="7" xfId="4" applyNumberFormat="1" applyFont="1" applyFill="1" applyBorder="1" applyAlignment="1" applyProtection="1">
      <alignment horizontal="left" indent="2"/>
      <protection hidden="1"/>
    </xf>
    <xf numFmtId="38" fontId="9" fillId="20" borderId="2" xfId="1" applyNumberFormat="1" applyFont="1" applyFill="1" applyBorder="1" applyAlignment="1" applyProtection="1">
      <alignment horizontal="right"/>
      <protection hidden="1"/>
    </xf>
    <xf numFmtId="38" fontId="9" fillId="20" borderId="8" xfId="1" applyNumberFormat="1" applyFont="1" applyFill="1" applyBorder="1" applyAlignment="1" applyProtection="1">
      <alignment horizontal="right" indent="1"/>
      <protection hidden="1"/>
    </xf>
    <xf numFmtId="38" fontId="9" fillId="20" borderId="3" xfId="1" applyNumberFormat="1" applyFont="1" applyFill="1" applyBorder="1" applyAlignment="1" applyProtection="1">
      <alignment horizontal="left" indent="2"/>
      <protection hidden="1"/>
    </xf>
    <xf numFmtId="170" fontId="9" fillId="20" borderId="3" xfId="4" applyNumberFormat="1" applyFont="1" applyFill="1" applyBorder="1" applyAlignment="1" applyProtection="1">
      <alignment horizontal="left" indent="2"/>
      <protection hidden="1"/>
    </xf>
    <xf numFmtId="38" fontId="9" fillId="20" borderId="5" xfId="0" applyNumberFormat="1" applyFont="1" applyFill="1" applyBorder="1" applyProtection="1">
      <protection hidden="1"/>
    </xf>
    <xf numFmtId="170" fontId="9" fillId="20" borderId="7" xfId="0" applyNumberFormat="1" applyFont="1" applyFill="1" applyBorder="1" applyAlignment="1" applyProtection="1">
      <alignment horizontal="left" indent="1"/>
      <protection hidden="1"/>
    </xf>
    <xf numFmtId="170" fontId="9" fillId="20" borderId="2" xfId="1" applyNumberFormat="1" applyFont="1" applyFill="1" applyBorder="1" applyAlignment="1" applyProtection="1">
      <alignment horizontal="right" indent="1"/>
      <protection hidden="1"/>
    </xf>
    <xf numFmtId="167" fontId="58" fillId="20" borderId="8" xfId="1" applyNumberFormat="1" applyFont="1" applyFill="1" applyBorder="1" applyProtection="1">
      <protection hidden="1"/>
    </xf>
    <xf numFmtId="170" fontId="9" fillId="20" borderId="7" xfId="4" applyNumberFormat="1" applyFont="1" applyFill="1" applyBorder="1" applyAlignment="1" applyProtection="1">
      <alignment horizontal="left" indent="1"/>
      <protection hidden="1"/>
    </xf>
    <xf numFmtId="170" fontId="9" fillId="20" borderId="8" xfId="1" applyNumberFormat="1" applyFont="1" applyFill="1" applyBorder="1" applyAlignment="1" applyProtection="1">
      <alignment horizontal="right" indent="1"/>
      <protection hidden="1"/>
    </xf>
    <xf numFmtId="172" fontId="9" fillId="20" borderId="6" xfId="1" applyNumberFormat="1" applyFont="1" applyFill="1" applyBorder="1" applyAlignment="1" applyProtection="1">
      <alignment horizontal="right"/>
      <protection hidden="1"/>
    </xf>
    <xf numFmtId="184" fontId="9" fillId="20" borderId="27" xfId="1" applyNumberFormat="1" applyFont="1" applyFill="1" applyBorder="1" applyProtection="1">
      <protection hidden="1"/>
    </xf>
    <xf numFmtId="172" fontId="9" fillId="20" borderId="7" xfId="1" applyNumberFormat="1" applyFont="1" applyFill="1" applyBorder="1" applyAlignment="1" applyProtection="1">
      <alignment horizontal="right"/>
      <protection hidden="1"/>
    </xf>
    <xf numFmtId="172" fontId="9" fillId="20" borderId="3" xfId="1" applyNumberFormat="1" applyFont="1" applyFill="1" applyBorder="1" applyAlignment="1" applyProtection="1">
      <alignment horizontal="right"/>
      <protection hidden="1"/>
    </xf>
    <xf numFmtId="184" fontId="9" fillId="20" borderId="28" xfId="1" applyNumberFormat="1" applyFont="1" applyFill="1" applyBorder="1" applyProtection="1">
      <protection hidden="1"/>
    </xf>
    <xf numFmtId="183" fontId="9" fillId="20" borderId="29" xfId="8" applyNumberFormat="1" applyFont="1" applyFill="1" applyBorder="1" applyAlignment="1" applyProtection="1">
      <protection hidden="1"/>
    </xf>
    <xf numFmtId="172" fontId="9" fillId="20" borderId="13" xfId="1" applyNumberFormat="1" applyFont="1" applyFill="1" applyBorder="1" applyAlignment="1" applyProtection="1">
      <alignment horizontal="right"/>
      <protection hidden="1"/>
    </xf>
    <xf numFmtId="164" fontId="9" fillId="20" borderId="6" xfId="8" applyNumberFormat="1" applyFont="1" applyFill="1" applyBorder="1" applyAlignment="1" applyProtection="1">
      <alignment horizontal="right" vertical="center"/>
      <protection hidden="1"/>
    </xf>
    <xf numFmtId="0" fontId="9" fillId="20" borderId="9" xfId="5" applyFont="1" applyFill="1" applyBorder="1" applyAlignment="1" applyProtection="1">
      <alignment horizontal="right" vertical="center"/>
      <protection hidden="1"/>
    </xf>
    <xf numFmtId="3" fontId="9" fillId="20" borderId="4" xfId="0" applyNumberFormat="1" applyFont="1" applyFill="1" applyBorder="1" applyAlignment="1" applyProtection="1">
      <alignment horizontal="right" vertical="center" indent="1"/>
      <protection hidden="1"/>
    </xf>
    <xf numFmtId="164" fontId="9" fillId="20" borderId="6" xfId="8" applyNumberFormat="1" applyFont="1" applyFill="1" applyBorder="1" applyAlignment="1" applyProtection="1">
      <alignment vertical="center"/>
      <protection hidden="1"/>
    </xf>
    <xf numFmtId="170" fontId="9" fillId="20" borderId="9" xfId="5" applyNumberFormat="1" applyFont="1" applyFill="1" applyBorder="1" applyAlignment="1" applyProtection="1">
      <alignment horizontal="right" vertical="center"/>
      <protection hidden="1"/>
    </xf>
    <xf numFmtId="38" fontId="9" fillId="20" borderId="3" xfId="5" applyNumberFormat="1" applyFont="1" applyFill="1" applyBorder="1" applyAlignment="1" applyProtection="1">
      <alignment horizontal="right"/>
      <protection hidden="1"/>
    </xf>
    <xf numFmtId="0" fontId="9" fillId="20" borderId="0" xfId="5" applyFont="1" applyFill="1" applyAlignment="1" applyProtection="1">
      <alignment horizontal="right" vertical="center"/>
      <protection hidden="1"/>
    </xf>
    <xf numFmtId="171" fontId="9" fillId="20" borderId="5" xfId="5" applyNumberFormat="1" applyFont="1" applyFill="1" applyBorder="1" applyAlignment="1" applyProtection="1">
      <alignment horizontal="right" vertical="center" indent="1"/>
      <protection hidden="1"/>
    </xf>
    <xf numFmtId="164" fontId="9" fillId="20" borderId="3" xfId="8" applyNumberFormat="1" applyFont="1" applyFill="1" applyBorder="1" applyAlignment="1" applyProtection="1">
      <alignment vertical="center"/>
      <protection hidden="1"/>
    </xf>
    <xf numFmtId="170" fontId="9" fillId="20" borderId="0" xfId="5" applyNumberFormat="1" applyFont="1" applyFill="1" applyAlignment="1" applyProtection="1">
      <alignment horizontal="right" vertical="center"/>
      <protection hidden="1"/>
    </xf>
    <xf numFmtId="38" fontId="9" fillId="20" borderId="5" xfId="5" applyNumberFormat="1" applyFont="1" applyFill="1" applyBorder="1" applyProtection="1">
      <protection hidden="1"/>
    </xf>
    <xf numFmtId="38" fontId="9" fillId="20" borderId="18" xfId="1" applyNumberFormat="1" applyFont="1" applyFill="1" applyBorder="1" applyAlignment="1" applyProtection="1">
      <alignment horizontal="right"/>
      <protection hidden="1"/>
    </xf>
    <xf numFmtId="0" fontId="9" fillId="20" borderId="12" xfId="5" applyFont="1" applyFill="1" applyBorder="1" applyAlignment="1" applyProtection="1">
      <alignment horizontal="right" vertical="center"/>
      <protection hidden="1"/>
    </xf>
    <xf numFmtId="171" fontId="9" fillId="20" borderId="15" xfId="5" applyNumberFormat="1" applyFont="1" applyFill="1" applyBorder="1" applyAlignment="1" applyProtection="1">
      <alignment horizontal="right" vertical="center" indent="1"/>
      <protection hidden="1"/>
    </xf>
    <xf numFmtId="164" fontId="9" fillId="20" borderId="18" xfId="8" applyNumberFormat="1" applyFont="1" applyFill="1" applyBorder="1" applyAlignment="1" applyProtection="1">
      <alignment vertical="center"/>
      <protection hidden="1"/>
    </xf>
    <xf numFmtId="170" fontId="9" fillId="20" borderId="12" xfId="5" applyNumberFormat="1" applyFont="1" applyFill="1" applyBorder="1" applyAlignment="1" applyProtection="1">
      <alignment horizontal="right" vertical="center"/>
      <protection hidden="1"/>
    </xf>
    <xf numFmtId="38" fontId="9" fillId="20" borderId="15" xfId="1" applyNumberFormat="1" applyFont="1" applyFill="1" applyBorder="1" applyAlignment="1" applyProtection="1">
      <alignment horizontal="left"/>
      <protection hidden="1"/>
    </xf>
    <xf numFmtId="164" fontId="9" fillId="20" borderId="3" xfId="8" applyNumberFormat="1" applyFont="1" applyFill="1" applyBorder="1" applyAlignment="1" applyProtection="1">
      <alignment horizontal="right" vertical="center"/>
      <protection hidden="1"/>
    </xf>
    <xf numFmtId="3" fontId="9" fillId="20" borderId="5" xfId="0" applyNumberFormat="1" applyFont="1" applyFill="1" applyBorder="1" applyAlignment="1" applyProtection="1">
      <alignment horizontal="right" vertical="center" indent="1"/>
      <protection hidden="1"/>
    </xf>
    <xf numFmtId="169" fontId="9" fillId="20" borderId="0" xfId="5" applyNumberFormat="1" applyFont="1" applyFill="1" applyAlignment="1" applyProtection="1">
      <alignment horizontal="right" vertical="center"/>
      <protection hidden="1"/>
    </xf>
    <xf numFmtId="38" fontId="9" fillId="20" borderId="3" xfId="5" quotePrefix="1" applyNumberFormat="1" applyFont="1" applyFill="1" applyBorder="1" applyAlignment="1" applyProtection="1">
      <alignment horizontal="right"/>
      <protection hidden="1"/>
    </xf>
    <xf numFmtId="169" fontId="9" fillId="20" borderId="12" xfId="5" applyNumberFormat="1" applyFont="1" applyFill="1" applyBorder="1" applyAlignment="1" applyProtection="1">
      <alignment horizontal="right" vertical="center"/>
      <protection hidden="1"/>
    </xf>
    <xf numFmtId="38" fontId="31" fillId="20" borderId="15" xfId="5" applyNumberFormat="1" applyFont="1" applyFill="1" applyBorder="1" applyProtection="1">
      <protection hidden="1"/>
    </xf>
    <xf numFmtId="164" fontId="9" fillId="20" borderId="7" xfId="8" applyNumberFormat="1" applyFont="1" applyFill="1" applyBorder="1" applyAlignment="1" applyProtection="1">
      <alignment horizontal="right" vertical="center"/>
      <protection hidden="1"/>
    </xf>
    <xf numFmtId="169" fontId="9" fillId="20" borderId="2" xfId="5" applyNumberFormat="1" applyFont="1" applyFill="1" applyBorder="1" applyAlignment="1" applyProtection="1">
      <alignment horizontal="right" vertical="center"/>
      <protection hidden="1"/>
    </xf>
    <xf numFmtId="171" fontId="9" fillId="20" borderId="8" xfId="5" applyNumberFormat="1" applyFont="1" applyFill="1" applyBorder="1" applyAlignment="1" applyProtection="1">
      <alignment horizontal="right" vertical="center" indent="1"/>
      <protection hidden="1"/>
    </xf>
    <xf numFmtId="164" fontId="9" fillId="20" borderId="7" xfId="8" applyNumberFormat="1" applyFont="1" applyFill="1" applyBorder="1" applyAlignment="1" applyProtection="1">
      <alignment vertical="center"/>
      <protection hidden="1"/>
    </xf>
    <xf numFmtId="170" fontId="9" fillId="20" borderId="2" xfId="5" applyNumberFormat="1" applyFont="1" applyFill="1" applyBorder="1" applyAlignment="1" applyProtection="1">
      <alignment horizontal="right" vertical="center"/>
      <protection hidden="1"/>
    </xf>
    <xf numFmtId="38" fontId="9" fillId="20" borderId="8" xfId="5" applyNumberFormat="1" applyFont="1" applyFill="1" applyBorder="1" applyProtection="1">
      <protection hidden="1"/>
    </xf>
    <xf numFmtId="38" fontId="31" fillId="20" borderId="5" xfId="5" applyNumberFormat="1" applyFont="1" applyFill="1" applyBorder="1" applyProtection="1">
      <protection hidden="1"/>
    </xf>
    <xf numFmtId="38" fontId="9" fillId="20" borderId="5" xfId="1" applyNumberFormat="1" applyFont="1" applyFill="1" applyBorder="1" applyAlignment="1" applyProtection="1">
      <alignment horizontal="left"/>
      <protection hidden="1"/>
    </xf>
    <xf numFmtId="3" fontId="9" fillId="20" borderId="15" xfId="0" applyNumberFormat="1" applyFont="1" applyFill="1" applyBorder="1" applyAlignment="1" applyProtection="1">
      <alignment horizontal="right" vertical="center" indent="1"/>
      <protection hidden="1"/>
    </xf>
    <xf numFmtId="38" fontId="40" fillId="20" borderId="15" xfId="5" applyNumberFormat="1" applyFont="1" applyFill="1" applyBorder="1" applyProtection="1">
      <protection hidden="1"/>
    </xf>
    <xf numFmtId="3" fontId="9" fillId="20" borderId="20" xfId="5" applyNumberFormat="1" applyFont="1" applyFill="1" applyBorder="1" applyAlignment="1" applyProtection="1">
      <alignment horizontal="right" vertical="center" indent="1"/>
      <protection hidden="1"/>
    </xf>
    <xf numFmtId="3" fontId="9" fillId="20" borderId="20" xfId="0" applyNumberFormat="1" applyFont="1" applyFill="1" applyBorder="1" applyAlignment="1" applyProtection="1">
      <alignment horizontal="right" vertical="center" indent="1"/>
      <protection hidden="1"/>
    </xf>
    <xf numFmtId="38" fontId="9" fillId="20" borderId="3" xfId="1" applyNumberFormat="1" applyFont="1" applyFill="1" applyBorder="1" applyAlignment="1" applyProtection="1">
      <alignment horizontal="right"/>
      <protection hidden="1"/>
    </xf>
    <xf numFmtId="38" fontId="9" fillId="20" borderId="18" xfId="5" applyNumberFormat="1" applyFont="1" applyFill="1" applyBorder="1" applyProtection="1">
      <protection hidden="1"/>
    </xf>
    <xf numFmtId="38" fontId="9" fillId="20" borderId="7" xfId="5" applyNumberFormat="1" applyFont="1" applyFill="1" applyBorder="1" applyProtection="1">
      <protection hidden="1"/>
    </xf>
    <xf numFmtId="3" fontId="9" fillId="20" borderId="8" xfId="0" applyNumberFormat="1" applyFont="1" applyFill="1" applyBorder="1" applyAlignment="1" applyProtection="1">
      <alignment horizontal="right" vertical="center" indent="1"/>
      <protection hidden="1"/>
    </xf>
    <xf numFmtId="38" fontId="9" fillId="20" borderId="8" xfId="1" applyNumberFormat="1" applyFont="1" applyFill="1" applyBorder="1" applyAlignment="1" applyProtection="1">
      <alignment horizontal="left"/>
      <protection hidden="1"/>
    </xf>
    <xf numFmtId="164" fontId="9" fillId="20" borderId="6" xfId="8" applyNumberFormat="1" applyFont="1" applyFill="1" applyBorder="1" applyAlignment="1" applyProtection="1">
      <alignment horizontal="center"/>
      <protection hidden="1"/>
    </xf>
    <xf numFmtId="0" fontId="9" fillId="20" borderId="9" xfId="5" applyFont="1" applyFill="1" applyBorder="1" applyAlignment="1" applyProtection="1">
      <alignment horizontal="center"/>
      <protection hidden="1"/>
    </xf>
    <xf numFmtId="170" fontId="9" fillId="20" borderId="9" xfId="5" applyNumberFormat="1" applyFont="1" applyFill="1" applyBorder="1" applyAlignment="1" applyProtection="1">
      <alignment horizontal="right"/>
      <protection hidden="1"/>
    </xf>
    <xf numFmtId="164" fontId="9" fillId="20" borderId="4" xfId="8" applyNumberFormat="1" applyFont="1" applyFill="1" applyBorder="1" applyAlignment="1" applyProtection="1">
      <alignment horizontal="center" vertical="center"/>
      <protection hidden="1"/>
    </xf>
    <xf numFmtId="170" fontId="9" fillId="20" borderId="9" xfId="5" applyNumberFormat="1" applyFont="1" applyFill="1" applyBorder="1" applyAlignment="1" applyProtection="1">
      <alignment horizontal="center"/>
      <protection hidden="1"/>
    </xf>
    <xf numFmtId="164" fontId="9" fillId="20" borderId="3" xfId="8" applyNumberFormat="1" applyFont="1" applyFill="1" applyBorder="1" applyAlignment="1" applyProtection="1">
      <alignment horizontal="left" indent="1"/>
      <protection hidden="1"/>
    </xf>
    <xf numFmtId="169" fontId="9" fillId="20" borderId="0" xfId="5" applyNumberFormat="1" applyFont="1" applyFill="1" applyAlignment="1" applyProtection="1">
      <alignment horizontal="center"/>
      <protection hidden="1"/>
    </xf>
    <xf numFmtId="170" fontId="9" fillId="20" borderId="0" xfId="5" applyNumberFormat="1" applyFont="1" applyFill="1" applyAlignment="1" applyProtection="1">
      <alignment horizontal="right"/>
      <protection hidden="1"/>
    </xf>
    <xf numFmtId="170" fontId="9" fillId="20" borderId="5" xfId="5" applyNumberFormat="1" applyFont="1" applyFill="1" applyBorder="1" applyAlignment="1" applyProtection="1">
      <alignment horizontal="center"/>
      <protection hidden="1"/>
    </xf>
    <xf numFmtId="38" fontId="9" fillId="20" borderId="3" xfId="5" applyNumberFormat="1" applyFont="1" applyFill="1" applyBorder="1" applyAlignment="1" applyProtection="1">
      <alignment horizontal="center"/>
      <protection hidden="1"/>
    </xf>
    <xf numFmtId="170" fontId="9" fillId="20" borderId="0" xfId="1" applyNumberFormat="1" applyFont="1" applyFill="1" applyAlignment="1" applyProtection="1">
      <alignment horizontal="center"/>
      <protection hidden="1"/>
    </xf>
    <xf numFmtId="164" fontId="9" fillId="20" borderId="18" xfId="8" applyNumberFormat="1" applyFont="1" applyFill="1" applyBorder="1" applyAlignment="1" applyProtection="1">
      <alignment horizontal="left" indent="1"/>
      <protection hidden="1"/>
    </xf>
    <xf numFmtId="169" fontId="9" fillId="20" borderId="12" xfId="5" applyNumberFormat="1" applyFont="1" applyFill="1" applyBorder="1" applyAlignment="1" applyProtection="1">
      <alignment horizontal="center"/>
      <protection hidden="1"/>
    </xf>
    <xf numFmtId="170" fontId="9" fillId="20" borderId="12" xfId="5" applyNumberFormat="1" applyFont="1" applyFill="1" applyBorder="1" applyAlignment="1" applyProtection="1">
      <alignment horizontal="right"/>
      <protection hidden="1"/>
    </xf>
    <xf numFmtId="38" fontId="9" fillId="20" borderId="15" xfId="1" applyNumberFormat="1" applyFont="1" applyFill="1" applyBorder="1" applyAlignment="1" applyProtection="1">
      <alignment horizontal="center"/>
      <protection hidden="1"/>
    </xf>
    <xf numFmtId="38" fontId="9" fillId="20" borderId="18" xfId="1" applyNumberFormat="1" applyFont="1" applyFill="1" applyBorder="1" applyAlignment="1" applyProtection="1">
      <alignment horizontal="center"/>
      <protection hidden="1"/>
    </xf>
    <xf numFmtId="170" fontId="9" fillId="20" borderId="12" xfId="1" applyNumberFormat="1" applyFont="1" applyFill="1" applyBorder="1" applyAlignment="1" applyProtection="1">
      <alignment horizontal="center"/>
      <protection hidden="1"/>
    </xf>
    <xf numFmtId="164" fontId="9" fillId="20" borderId="19" xfId="8" applyNumberFormat="1" applyFont="1" applyFill="1" applyBorder="1" applyAlignment="1" applyProtection="1">
      <alignment horizontal="center"/>
      <protection hidden="1"/>
    </xf>
    <xf numFmtId="0" fontId="9" fillId="20" borderId="16" xfId="5" applyFont="1" applyFill="1" applyBorder="1" applyAlignment="1" applyProtection="1">
      <alignment horizontal="center"/>
      <protection hidden="1"/>
    </xf>
    <xf numFmtId="170" fontId="9" fillId="20" borderId="16" xfId="5" applyNumberFormat="1" applyFont="1" applyFill="1" applyBorder="1" applyAlignment="1" applyProtection="1">
      <alignment horizontal="right"/>
      <protection hidden="1"/>
    </xf>
    <xf numFmtId="164" fontId="9" fillId="20" borderId="20" xfId="8" applyNumberFormat="1" applyFont="1" applyFill="1" applyBorder="1" applyAlignment="1" applyProtection="1">
      <alignment horizontal="center" vertical="center"/>
      <protection hidden="1"/>
    </xf>
    <xf numFmtId="170" fontId="9" fillId="20" borderId="16" xfId="5" applyNumberFormat="1" applyFont="1" applyFill="1" applyBorder="1" applyAlignment="1" applyProtection="1">
      <alignment horizontal="center"/>
      <protection hidden="1"/>
    </xf>
    <xf numFmtId="164" fontId="9" fillId="20" borderId="7" xfId="8" applyNumberFormat="1" applyFont="1" applyFill="1" applyBorder="1" applyAlignment="1" applyProtection="1">
      <alignment horizontal="left" indent="1"/>
      <protection hidden="1"/>
    </xf>
    <xf numFmtId="169" fontId="9" fillId="20" borderId="2" xfId="5" applyNumberFormat="1" applyFont="1" applyFill="1" applyBorder="1" applyAlignment="1" applyProtection="1">
      <alignment horizontal="center"/>
      <protection hidden="1"/>
    </xf>
    <xf numFmtId="170" fontId="9" fillId="20" borderId="2" xfId="5" applyNumberFormat="1" applyFont="1" applyFill="1" applyBorder="1" applyAlignment="1" applyProtection="1">
      <alignment horizontal="right"/>
      <protection hidden="1"/>
    </xf>
    <xf numFmtId="38" fontId="9" fillId="20" borderId="8" xfId="1" applyNumberFormat="1" applyFont="1" applyFill="1" applyBorder="1" applyAlignment="1" applyProtection="1">
      <alignment horizontal="center"/>
      <protection hidden="1"/>
    </xf>
    <xf numFmtId="170" fontId="9" fillId="20" borderId="2" xfId="1" applyNumberFormat="1" applyFont="1" applyFill="1" applyBorder="1" applyAlignment="1" applyProtection="1">
      <alignment horizontal="center"/>
      <protection hidden="1"/>
    </xf>
    <xf numFmtId="170" fontId="9" fillId="20" borderId="27" xfId="0" applyNumberFormat="1" applyFont="1" applyFill="1" applyBorder="1" applyAlignment="1" applyProtection="1">
      <alignment horizontal="centerContinuous"/>
      <protection hidden="1"/>
    </xf>
    <xf numFmtId="170" fontId="9" fillId="20" borderId="29" xfId="0" applyNumberFormat="1" applyFont="1" applyFill="1" applyBorder="1" applyAlignment="1" applyProtection="1">
      <alignment horizontal="centerContinuous"/>
      <protection hidden="1"/>
    </xf>
    <xf numFmtId="170" fontId="9" fillId="20" borderId="6" xfId="5" applyNumberFormat="1" applyFont="1" applyFill="1" applyBorder="1" applyAlignment="1" applyProtection="1">
      <alignment horizontal="center"/>
      <protection hidden="1"/>
    </xf>
    <xf numFmtId="170" fontId="9" fillId="20" borderId="9" xfId="0" applyNumberFormat="1" applyFont="1" applyFill="1" applyBorder="1" applyAlignment="1" applyProtection="1">
      <alignment horizontal="left" indent="1"/>
      <protection hidden="1"/>
    </xf>
    <xf numFmtId="170" fontId="9" fillId="20" borderId="9" xfId="0" applyNumberFormat="1" applyFont="1" applyFill="1" applyBorder="1" applyAlignment="1" applyProtection="1">
      <alignment horizontal="center"/>
      <protection hidden="1"/>
    </xf>
    <xf numFmtId="170" fontId="9" fillId="20" borderId="4" xfId="0" applyNumberFormat="1" applyFont="1" applyFill="1" applyBorder="1" applyAlignment="1" applyProtection="1">
      <alignment horizontal="right" indent="1"/>
      <protection hidden="1"/>
    </xf>
    <xf numFmtId="170" fontId="9" fillId="20" borderId="4" xfId="0" applyNumberFormat="1" applyFont="1" applyFill="1" applyBorder="1" applyAlignment="1" applyProtection="1">
      <alignment horizontal="left" indent="1"/>
      <protection hidden="1"/>
    </xf>
    <xf numFmtId="164" fontId="9" fillId="20" borderId="27" xfId="8" applyNumberFormat="1" applyFont="1" applyFill="1" applyBorder="1" applyAlignment="1" applyProtection="1">
      <alignment horizontal="center" vertical="top"/>
      <protection hidden="1"/>
    </xf>
    <xf numFmtId="170" fontId="9" fillId="20" borderId="3" xfId="5" applyNumberFormat="1" applyFont="1" applyFill="1" applyBorder="1" applyAlignment="1" applyProtection="1">
      <alignment horizontal="center"/>
      <protection hidden="1"/>
    </xf>
    <xf numFmtId="170" fontId="9" fillId="20" borderId="0" xfId="0" applyNumberFormat="1" applyFont="1" applyFill="1" applyAlignment="1" applyProtection="1">
      <alignment horizontal="left" indent="1"/>
      <protection hidden="1"/>
    </xf>
    <xf numFmtId="170" fontId="9" fillId="20" borderId="0" xfId="0" applyNumberFormat="1" applyFont="1" applyFill="1" applyAlignment="1" applyProtection="1">
      <alignment horizontal="center"/>
      <protection hidden="1"/>
    </xf>
    <xf numFmtId="170" fontId="9" fillId="20" borderId="5" xfId="0" applyNumberFormat="1" applyFont="1" applyFill="1" applyBorder="1" applyAlignment="1" applyProtection="1">
      <alignment horizontal="right" indent="1"/>
      <protection hidden="1"/>
    </xf>
    <xf numFmtId="170" fontId="9" fillId="20" borderId="5" xfId="0" applyNumberFormat="1" applyFont="1" applyFill="1" applyBorder="1" applyAlignment="1" applyProtection="1">
      <alignment horizontal="left" indent="1"/>
      <protection hidden="1"/>
    </xf>
    <xf numFmtId="9" fontId="9" fillId="20" borderId="28" xfId="8" applyFont="1" applyFill="1" applyBorder="1" applyAlignment="1" applyProtection="1">
      <alignment horizontal="center" vertical="center"/>
      <protection hidden="1"/>
    </xf>
    <xf numFmtId="9" fontId="9" fillId="20" borderId="29" xfId="8" applyFont="1" applyFill="1" applyBorder="1" applyAlignment="1" applyProtection="1">
      <alignment horizontal="center" vertical="center"/>
      <protection hidden="1"/>
    </xf>
    <xf numFmtId="170" fontId="9" fillId="20" borderId="12" xfId="0" applyNumberFormat="1" applyFont="1" applyFill="1" applyBorder="1" applyAlignment="1" applyProtection="1">
      <alignment horizontal="left" indent="1"/>
      <protection hidden="1"/>
    </xf>
    <xf numFmtId="170" fontId="9" fillId="20" borderId="12" xfId="0" applyNumberFormat="1" applyFont="1" applyFill="1" applyBorder="1" applyAlignment="1" applyProtection="1">
      <alignment horizontal="center"/>
      <protection hidden="1"/>
    </xf>
    <xf numFmtId="170" fontId="9" fillId="20" borderId="15" xfId="0" applyNumberFormat="1" applyFont="1" applyFill="1" applyBorder="1" applyAlignment="1" applyProtection="1">
      <alignment horizontal="right" indent="1"/>
      <protection hidden="1"/>
    </xf>
    <xf numFmtId="170" fontId="38" fillId="20" borderId="0" xfId="0" applyNumberFormat="1" applyFont="1" applyFill="1" applyAlignment="1" applyProtection="1">
      <alignment horizontal="left" indent="6"/>
      <protection hidden="1"/>
    </xf>
    <xf numFmtId="0" fontId="38" fillId="20" borderId="0" xfId="0" applyFont="1" applyFill="1" applyAlignment="1" applyProtection="1">
      <alignment horizontal="left" indent="6"/>
      <protection hidden="1"/>
    </xf>
    <xf numFmtId="170" fontId="9" fillId="20" borderId="15" xfId="0" applyNumberFormat="1" applyFont="1" applyFill="1" applyBorder="1" applyAlignment="1" applyProtection="1">
      <alignment horizontal="left" indent="1"/>
      <protection hidden="1"/>
    </xf>
    <xf numFmtId="170" fontId="9" fillId="20" borderId="7" xfId="5" applyNumberFormat="1" applyFont="1" applyFill="1" applyBorder="1" applyAlignment="1" applyProtection="1">
      <alignment horizontal="center"/>
      <protection hidden="1"/>
    </xf>
    <xf numFmtId="0" fontId="9" fillId="20" borderId="2" xfId="5" applyFont="1" applyFill="1" applyBorder="1" applyAlignment="1" applyProtection="1">
      <alignment horizontal="left" indent="6"/>
      <protection hidden="1"/>
    </xf>
    <xf numFmtId="170" fontId="9" fillId="20" borderId="8" xfId="0" applyNumberFormat="1" applyFont="1" applyFill="1" applyBorder="1" applyAlignment="1" applyProtection="1">
      <alignment horizontal="right" indent="1"/>
      <protection hidden="1"/>
    </xf>
    <xf numFmtId="0" fontId="38" fillId="20" borderId="0" xfId="0" applyFont="1" applyFill="1" applyAlignment="1" applyProtection="1">
      <alignment horizontal="left" indent="2"/>
      <protection hidden="1"/>
    </xf>
    <xf numFmtId="0" fontId="38" fillId="20" borderId="0" xfId="0" applyFont="1" applyFill="1" applyAlignment="1" applyProtection="1">
      <alignment horizontal="left" indent="1"/>
      <protection hidden="1"/>
    </xf>
    <xf numFmtId="38" fontId="9" fillId="20" borderId="7" xfId="5" applyNumberFormat="1" applyFont="1" applyFill="1" applyBorder="1" applyAlignment="1" applyProtection="1">
      <alignment horizontal="center"/>
      <protection hidden="1"/>
    </xf>
    <xf numFmtId="170" fontId="9" fillId="20" borderId="2" xfId="0" applyNumberFormat="1" applyFont="1" applyFill="1" applyBorder="1" applyAlignment="1" applyProtection="1">
      <alignment horizontal="left" indent="1"/>
      <protection hidden="1"/>
    </xf>
    <xf numFmtId="0" fontId="9" fillId="20" borderId="2" xfId="5" applyFont="1" applyFill="1" applyBorder="1" applyAlignment="1" applyProtection="1">
      <alignment horizontal="left" indent="2"/>
      <protection hidden="1"/>
    </xf>
    <xf numFmtId="170" fontId="9" fillId="20" borderId="2" xfId="0" applyNumberFormat="1" applyFont="1" applyFill="1" applyBorder="1" applyAlignment="1" applyProtection="1">
      <alignment horizontal="center"/>
      <protection hidden="1"/>
    </xf>
    <xf numFmtId="0" fontId="9" fillId="20" borderId="2" xfId="5" applyFont="1" applyFill="1" applyBorder="1" applyAlignment="1" applyProtection="1">
      <alignment horizontal="left" indent="1"/>
      <protection hidden="1"/>
    </xf>
    <xf numFmtId="170" fontId="9" fillId="20" borderId="8" xfId="0" applyNumberFormat="1" applyFont="1" applyFill="1" applyBorder="1" applyAlignment="1" applyProtection="1">
      <alignment horizontal="left" indent="1"/>
      <protection hidden="1"/>
    </xf>
    <xf numFmtId="170" fontId="79" fillId="20" borderId="5" xfId="5" applyNumberFormat="1" applyFont="1" applyFill="1" applyBorder="1" applyAlignment="1" applyProtection="1">
      <alignment horizontal="right" indent="1"/>
      <protection hidden="1"/>
    </xf>
    <xf numFmtId="170" fontId="9" fillId="20" borderId="15" xfId="5" applyNumberFormat="1" applyFont="1" applyFill="1" applyBorder="1" applyAlignment="1" applyProtection="1">
      <alignment horizontal="right" indent="1"/>
      <protection hidden="1"/>
    </xf>
    <xf numFmtId="164" fontId="9" fillId="20" borderId="5" xfId="8" applyNumberFormat="1" applyFont="1" applyFill="1" applyBorder="1" applyAlignment="1" applyProtection="1">
      <alignment horizontal="right" indent="1"/>
      <protection hidden="1"/>
    </xf>
    <xf numFmtId="164" fontId="79" fillId="20" borderId="5" xfId="8" applyNumberFormat="1" applyFont="1" applyFill="1" applyBorder="1" applyAlignment="1" applyProtection="1">
      <alignment horizontal="right" indent="1"/>
      <protection hidden="1"/>
    </xf>
    <xf numFmtId="189" fontId="9" fillId="20" borderId="8" xfId="8" applyNumberFormat="1" applyFont="1" applyFill="1" applyBorder="1" applyAlignment="1" applyProtection="1">
      <alignment horizontal="right" indent="1"/>
      <protection hidden="1"/>
    </xf>
    <xf numFmtId="167" fontId="9" fillId="20" borderId="9" xfId="12" applyNumberFormat="1" applyFont="1" applyFill="1" applyBorder="1" applyAlignment="1" applyProtection="1">
      <alignment horizontal="center"/>
      <protection hidden="1"/>
    </xf>
    <xf numFmtId="167" fontId="11" fillId="20" borderId="9" xfId="12" applyNumberFormat="1" applyFont="1" applyFill="1" applyBorder="1" applyAlignment="1" applyProtection="1">
      <alignment horizontal="center"/>
      <protection hidden="1"/>
    </xf>
    <xf numFmtId="167" fontId="9" fillId="20" borderId="22" xfId="12" applyNumberFormat="1" applyFont="1" applyFill="1" applyBorder="1" applyAlignment="1" applyProtection="1">
      <alignment horizontal="center"/>
      <protection hidden="1"/>
    </xf>
    <xf numFmtId="164" fontId="9" fillId="20" borderId="4" xfId="13" applyNumberFormat="1" applyFont="1" applyFill="1" applyBorder="1" applyAlignment="1" applyProtection="1">
      <alignment vertical="center"/>
      <protection hidden="1"/>
    </xf>
    <xf numFmtId="167" fontId="9" fillId="20" borderId="22" xfId="12" applyNumberFormat="1" applyFont="1" applyFill="1" applyBorder="1" applyAlignment="1" applyProtection="1">
      <alignment horizontal="center" vertical="top"/>
      <protection hidden="1"/>
    </xf>
    <xf numFmtId="164" fontId="9" fillId="20" borderId="2" xfId="13" applyNumberFormat="1" applyFont="1" applyFill="1" applyBorder="1" applyAlignment="1" applyProtection="1">
      <alignment horizontal="center" vertical="center"/>
      <protection hidden="1"/>
    </xf>
    <xf numFmtId="164" fontId="9" fillId="20" borderId="8" xfId="13" applyNumberFormat="1" applyFont="1" applyFill="1" applyBorder="1" applyAlignment="1" applyProtection="1">
      <alignment vertical="center"/>
      <protection hidden="1"/>
    </xf>
    <xf numFmtId="185" fontId="9" fillId="20" borderId="27" xfId="10" applyNumberFormat="1" applyFont="1" applyFill="1" applyBorder="1" applyAlignment="1" applyProtection="1">
      <alignment horizontal="center"/>
      <protection hidden="1"/>
    </xf>
    <xf numFmtId="164" fontId="9" fillId="20" borderId="28" xfId="10" applyNumberFormat="1" applyFont="1" applyFill="1" applyBorder="1" applyAlignment="1" applyProtection="1">
      <alignment horizontal="center"/>
      <protection hidden="1"/>
    </xf>
    <xf numFmtId="164" fontId="9" fillId="20" borderId="29" xfId="10" applyNumberFormat="1" applyFont="1" applyFill="1" applyBorder="1" applyAlignment="1" applyProtection="1">
      <alignment horizontal="center"/>
      <protection hidden="1"/>
    </xf>
    <xf numFmtId="175" fontId="9" fillId="20" borderId="1" xfId="13" applyNumberFormat="1" applyFont="1" applyFill="1" applyBorder="1" applyAlignment="1" applyProtection="1">
      <alignment horizontal="center"/>
      <protection hidden="1"/>
    </xf>
    <xf numFmtId="164" fontId="9" fillId="20" borderId="27" xfId="8" applyNumberFormat="1" applyFont="1" applyFill="1" applyBorder="1" applyAlignment="1" applyProtection="1">
      <protection hidden="1"/>
    </xf>
    <xf numFmtId="169" fontId="9" fillId="20" borderId="24" xfId="10" applyNumberFormat="1" applyFont="1" applyFill="1" applyBorder="1" applyAlignment="1" applyProtection="1">
      <alignment horizontal="center"/>
      <protection hidden="1"/>
    </xf>
    <xf numFmtId="3" fontId="9" fillId="20" borderId="9" xfId="10" applyNumberFormat="1" applyFont="1" applyFill="1" applyBorder="1" applyAlignment="1" applyProtection="1">
      <alignment horizontal="center"/>
      <protection hidden="1"/>
    </xf>
    <xf numFmtId="3" fontId="9" fillId="20" borderId="9" xfId="0" applyNumberFormat="1" applyFont="1" applyFill="1" applyBorder="1" applyAlignment="1" applyProtection="1">
      <alignment horizontal="center"/>
      <protection hidden="1"/>
    </xf>
    <xf numFmtId="167" fontId="9" fillId="20" borderId="4" xfId="0" applyNumberFormat="1" applyFont="1" applyFill="1" applyBorder="1" applyAlignment="1" applyProtection="1">
      <alignment horizontal="center"/>
      <protection hidden="1"/>
    </xf>
    <xf numFmtId="170" fontId="9" fillId="20" borderId="30" xfId="5" applyNumberFormat="1" applyFont="1" applyFill="1" applyBorder="1" applyAlignment="1" applyProtection="1">
      <alignment horizontal="right" indent="1"/>
      <protection hidden="1"/>
    </xf>
    <xf numFmtId="0" fontId="13" fillId="20" borderId="9" xfId="5" applyFont="1" applyFill="1" applyBorder="1" applyAlignment="1" applyProtection="1">
      <alignment horizontal="right"/>
      <protection hidden="1"/>
    </xf>
    <xf numFmtId="0" fontId="28" fillId="20" borderId="9" xfId="10" applyFont="1" applyFill="1" applyBorder="1" applyAlignment="1" applyProtection="1">
      <alignment horizontal="right"/>
      <protection hidden="1"/>
    </xf>
    <xf numFmtId="0" fontId="28" fillId="20" borderId="9" xfId="10" applyFont="1" applyFill="1" applyBorder="1" applyAlignment="1" applyProtection="1">
      <alignment horizontal="right" indent="1"/>
      <protection hidden="1"/>
    </xf>
    <xf numFmtId="3" fontId="13" fillId="20" borderId="24" xfId="0" applyNumberFormat="1" applyFont="1" applyFill="1" applyBorder="1" applyAlignment="1" applyProtection="1">
      <alignment horizontal="right" indent="1"/>
      <protection hidden="1"/>
    </xf>
    <xf numFmtId="0" fontId="28" fillId="20" borderId="4" xfId="10" applyFont="1" applyFill="1" applyBorder="1" applyAlignment="1" applyProtection="1">
      <alignment horizontal="right" indent="1"/>
      <protection hidden="1"/>
    </xf>
    <xf numFmtId="164" fontId="9" fillId="20" borderId="29" xfId="8" applyNumberFormat="1" applyFont="1" applyFill="1" applyBorder="1" applyAlignment="1" applyProtection="1">
      <protection hidden="1"/>
    </xf>
    <xf numFmtId="169" fontId="9" fillId="20" borderId="17" xfId="10" applyNumberFormat="1" applyFont="1" applyFill="1" applyBorder="1" applyAlignment="1" applyProtection="1">
      <alignment horizontal="center"/>
      <protection hidden="1"/>
    </xf>
    <xf numFmtId="3" fontId="9" fillId="20" borderId="0" xfId="10" applyNumberFormat="1" applyFont="1" applyFill="1" applyAlignment="1" applyProtection="1">
      <alignment horizontal="center"/>
      <protection hidden="1"/>
    </xf>
    <xf numFmtId="3" fontId="13" fillId="20" borderId="0" xfId="10" applyNumberFormat="1" applyFont="1" applyFill="1" applyAlignment="1" applyProtection="1">
      <alignment horizontal="center"/>
      <protection hidden="1"/>
    </xf>
    <xf numFmtId="3" fontId="13" fillId="20" borderId="5" xfId="10" applyNumberFormat="1" applyFont="1" applyFill="1" applyBorder="1" applyAlignment="1" applyProtection="1">
      <alignment horizontal="center"/>
      <protection hidden="1"/>
    </xf>
    <xf numFmtId="170" fontId="9" fillId="20" borderId="23" xfId="0" applyNumberFormat="1" applyFont="1" applyFill="1" applyBorder="1" applyAlignment="1" applyProtection="1">
      <alignment horizontal="right" indent="1"/>
      <protection hidden="1"/>
    </xf>
    <xf numFmtId="3" fontId="13" fillId="20" borderId="0" xfId="0" applyNumberFormat="1" applyFont="1" applyFill="1" applyAlignment="1" applyProtection="1">
      <alignment horizontal="right"/>
      <protection hidden="1"/>
    </xf>
    <xf numFmtId="3" fontId="13" fillId="20" borderId="0" xfId="0" applyNumberFormat="1" applyFont="1" applyFill="1" applyAlignment="1" applyProtection="1">
      <alignment horizontal="right" indent="1"/>
      <protection hidden="1"/>
    </xf>
    <xf numFmtId="3" fontId="13" fillId="20" borderId="17" xfId="0" applyNumberFormat="1" applyFont="1" applyFill="1" applyBorder="1" applyAlignment="1" applyProtection="1">
      <alignment horizontal="right" indent="1"/>
      <protection hidden="1"/>
    </xf>
    <xf numFmtId="3" fontId="13" fillId="20" borderId="5" xfId="0" applyNumberFormat="1" applyFont="1" applyFill="1" applyBorder="1" applyAlignment="1" applyProtection="1">
      <alignment horizontal="right" indent="1"/>
      <protection hidden="1"/>
    </xf>
    <xf numFmtId="173" fontId="79" fillId="20" borderId="23" xfId="5" applyNumberFormat="1" applyFont="1" applyFill="1" applyBorder="1" applyAlignment="1" applyProtection="1">
      <alignment horizontal="right" vertical="center" indent="1"/>
      <protection hidden="1"/>
    </xf>
    <xf numFmtId="170" fontId="9" fillId="20" borderId="31" xfId="5" applyNumberFormat="1" applyFont="1" applyFill="1" applyBorder="1" applyAlignment="1" applyProtection="1">
      <alignment horizontal="right" indent="1"/>
      <protection hidden="1"/>
    </xf>
    <xf numFmtId="3" fontId="13" fillId="20" borderId="5" xfId="0" applyNumberFormat="1" applyFont="1" applyFill="1" applyBorder="1" applyAlignment="1" applyProtection="1">
      <alignment horizontal="right" vertical="center" indent="1"/>
      <protection hidden="1"/>
    </xf>
    <xf numFmtId="3" fontId="9" fillId="20" borderId="0" xfId="0" applyNumberFormat="1" applyFont="1" applyFill="1" applyAlignment="1" applyProtection="1">
      <alignment horizontal="center"/>
      <protection hidden="1"/>
    </xf>
    <xf numFmtId="3" fontId="13" fillId="20" borderId="0" xfId="0" applyNumberFormat="1" applyFont="1" applyFill="1" applyAlignment="1" applyProtection="1">
      <alignment horizontal="right" vertical="center"/>
      <protection hidden="1"/>
    </xf>
    <xf numFmtId="3" fontId="13" fillId="20" borderId="0" xfId="0" applyNumberFormat="1" applyFont="1" applyFill="1" applyAlignment="1" applyProtection="1">
      <alignment horizontal="right" vertical="center" indent="1"/>
      <protection hidden="1"/>
    </xf>
    <xf numFmtId="3" fontId="13" fillId="20" borderId="17" xfId="0" applyNumberFormat="1" applyFont="1" applyFill="1" applyBorder="1" applyAlignment="1" applyProtection="1">
      <alignment horizontal="right" vertical="center" indent="1"/>
      <protection hidden="1"/>
    </xf>
    <xf numFmtId="0" fontId="13" fillId="20" borderId="0" xfId="5" applyFont="1" applyFill="1" applyAlignment="1" applyProtection="1">
      <alignment horizontal="right"/>
      <protection hidden="1"/>
    </xf>
    <xf numFmtId="168" fontId="13" fillId="20" borderId="0" xfId="0" applyNumberFormat="1" applyFont="1" applyFill="1" applyAlignment="1" applyProtection="1">
      <alignment horizontal="right" vertical="center" indent="1"/>
      <protection hidden="1"/>
    </xf>
    <xf numFmtId="168" fontId="13" fillId="20" borderId="17" xfId="0" applyNumberFormat="1" applyFont="1" applyFill="1" applyBorder="1" applyAlignment="1" applyProtection="1">
      <alignment horizontal="right" vertical="center" indent="1"/>
      <protection hidden="1"/>
    </xf>
    <xf numFmtId="165" fontId="13" fillId="20" borderId="0" xfId="0" applyNumberFormat="1" applyFont="1" applyFill="1" applyAlignment="1" applyProtection="1">
      <alignment horizontal="right"/>
      <protection hidden="1"/>
    </xf>
    <xf numFmtId="165" fontId="13" fillId="20" borderId="0" xfId="0" applyNumberFormat="1" applyFont="1" applyFill="1" applyAlignment="1" applyProtection="1">
      <alignment horizontal="right" vertical="top"/>
      <protection hidden="1"/>
    </xf>
    <xf numFmtId="165" fontId="31" fillId="20" borderId="0" xfId="0" applyNumberFormat="1" applyFont="1" applyFill="1" applyAlignment="1" applyProtection="1">
      <alignment horizontal="right" vertical="top"/>
      <protection hidden="1"/>
    </xf>
    <xf numFmtId="165" fontId="31" fillId="20" borderId="0" xfId="0" applyNumberFormat="1" applyFont="1" applyFill="1" applyAlignment="1" applyProtection="1">
      <alignment horizontal="right" vertical="top" indent="1"/>
      <protection hidden="1"/>
    </xf>
    <xf numFmtId="165" fontId="31" fillId="20" borderId="17" xfId="0" applyNumberFormat="1" applyFont="1" applyFill="1" applyBorder="1" applyAlignment="1" applyProtection="1">
      <alignment horizontal="right" vertical="top" indent="1"/>
      <protection hidden="1"/>
    </xf>
    <xf numFmtId="165" fontId="31" fillId="20" borderId="5" xfId="0" applyNumberFormat="1" applyFont="1" applyFill="1" applyBorder="1" applyAlignment="1" applyProtection="1">
      <alignment horizontal="right" vertical="top" indent="1"/>
      <protection hidden="1"/>
    </xf>
    <xf numFmtId="1" fontId="9" fillId="20" borderId="2" xfId="10" applyNumberFormat="1" applyFont="1" applyFill="1" applyBorder="1" applyAlignment="1" applyProtection="1">
      <alignment horizontal="center"/>
      <protection hidden="1"/>
    </xf>
    <xf numFmtId="169" fontId="9" fillId="20" borderId="17" xfId="10" applyNumberFormat="1" applyFont="1" applyFill="1" applyBorder="1" applyAlignment="1" applyProtection="1">
      <alignment horizontal="center" vertical="center"/>
      <protection hidden="1"/>
    </xf>
    <xf numFmtId="3" fontId="9" fillId="20" borderId="4" xfId="10" applyNumberFormat="1" applyFont="1" applyFill="1" applyBorder="1" applyAlignment="1" applyProtection="1">
      <alignment horizontal="center"/>
      <protection hidden="1"/>
    </xf>
    <xf numFmtId="3" fontId="13" fillId="20" borderId="0" xfId="10" applyNumberFormat="1" applyFont="1" applyFill="1" applyAlignment="1" applyProtection="1">
      <alignment horizontal="center" vertical="center"/>
      <protection hidden="1"/>
    </xf>
    <xf numFmtId="3" fontId="13" fillId="20" borderId="5" xfId="10" applyNumberFormat="1" applyFont="1" applyFill="1" applyBorder="1" applyAlignment="1" applyProtection="1">
      <alignment horizontal="center" vertical="center"/>
      <protection hidden="1"/>
    </xf>
    <xf numFmtId="0" fontId="12" fillId="20" borderId="0" xfId="5" applyFont="1" applyFill="1" applyAlignment="1" applyProtection="1">
      <alignment horizontal="right"/>
      <protection hidden="1"/>
    </xf>
    <xf numFmtId="0" fontId="13" fillId="20" borderId="0" xfId="10" applyFont="1" applyFill="1" applyAlignment="1" applyProtection="1">
      <alignment horizontal="right"/>
      <protection hidden="1"/>
    </xf>
    <xf numFmtId="0" fontId="12" fillId="20" borderId="0" xfId="10" applyFont="1" applyFill="1" applyAlignment="1" applyProtection="1">
      <alignment horizontal="right" indent="1"/>
      <protection hidden="1"/>
    </xf>
    <xf numFmtId="0" fontId="12" fillId="20" borderId="17" xfId="10" applyFont="1" applyFill="1" applyBorder="1" applyAlignment="1" applyProtection="1">
      <alignment horizontal="right" indent="1"/>
      <protection hidden="1"/>
    </xf>
    <xf numFmtId="0" fontId="13" fillId="20" borderId="5" xfId="10" applyFont="1" applyFill="1" applyBorder="1" applyAlignment="1" applyProtection="1">
      <alignment horizontal="right" indent="1"/>
      <protection hidden="1"/>
    </xf>
    <xf numFmtId="164" fontId="9" fillId="20" borderId="0" xfId="10" applyNumberFormat="1" applyFont="1" applyFill="1" applyAlignment="1" applyProtection="1">
      <alignment horizontal="center"/>
      <protection hidden="1"/>
    </xf>
    <xf numFmtId="169" fontId="9" fillId="20" borderId="17" xfId="10" applyNumberFormat="1" applyFont="1" applyFill="1" applyBorder="1" applyAlignment="1" applyProtection="1">
      <alignment horizontal="center" vertical="top"/>
      <protection hidden="1"/>
    </xf>
    <xf numFmtId="3" fontId="9" fillId="20" borderId="8" xfId="10" applyNumberFormat="1" applyFont="1" applyFill="1" applyBorder="1" applyAlignment="1" applyProtection="1">
      <alignment horizontal="center" vertical="top"/>
      <protection hidden="1"/>
    </xf>
    <xf numFmtId="167" fontId="13" fillId="20" borderId="0" xfId="0" applyNumberFormat="1" applyFont="1" applyFill="1" applyAlignment="1" applyProtection="1">
      <alignment horizontal="right"/>
      <protection hidden="1"/>
    </xf>
    <xf numFmtId="167" fontId="14" fillId="20" borderId="0" xfId="0" applyNumberFormat="1" applyFont="1" applyFill="1" applyAlignment="1" applyProtection="1">
      <alignment horizontal="right" indent="1"/>
      <protection hidden="1"/>
    </xf>
    <xf numFmtId="167" fontId="14" fillId="20" borderId="17" xfId="0" applyNumberFormat="1" applyFont="1" applyFill="1" applyBorder="1" applyAlignment="1" applyProtection="1">
      <alignment horizontal="right" indent="1"/>
      <protection hidden="1"/>
    </xf>
    <xf numFmtId="3" fontId="14" fillId="20" borderId="0" xfId="0" applyNumberFormat="1" applyFont="1" applyFill="1" applyAlignment="1" applyProtection="1">
      <alignment horizontal="right"/>
      <protection hidden="1"/>
    </xf>
    <xf numFmtId="167" fontId="13" fillId="20" borderId="5" xfId="0" applyNumberFormat="1" applyFont="1" applyFill="1" applyBorder="1" applyAlignment="1" applyProtection="1">
      <alignment horizontal="right" indent="1"/>
      <protection hidden="1"/>
    </xf>
    <xf numFmtId="0" fontId="13" fillId="20" borderId="32" xfId="10" applyFont="1" applyFill="1" applyBorder="1" applyAlignment="1" applyProtection="1">
      <alignment horizontal="center"/>
      <protection hidden="1"/>
    </xf>
    <xf numFmtId="0" fontId="13" fillId="20" borderId="8" xfId="10" applyFont="1" applyFill="1" applyBorder="1" applyAlignment="1" applyProtection="1">
      <alignment horizontal="center"/>
      <protection hidden="1"/>
    </xf>
    <xf numFmtId="0" fontId="13" fillId="20" borderId="2" xfId="5" applyFont="1" applyFill="1" applyBorder="1" applyAlignment="1" applyProtection="1">
      <alignment horizontal="right"/>
      <protection hidden="1"/>
    </xf>
    <xf numFmtId="0" fontId="13" fillId="20" borderId="32" xfId="5" applyFont="1" applyFill="1" applyBorder="1" applyAlignment="1" applyProtection="1">
      <alignment horizontal="right"/>
      <protection hidden="1"/>
    </xf>
    <xf numFmtId="0" fontId="13" fillId="20" borderId="8" xfId="5" applyFont="1" applyFill="1" applyBorder="1" applyAlignment="1" applyProtection="1">
      <alignment horizontal="right" indent="1"/>
      <protection hidden="1"/>
    </xf>
    <xf numFmtId="167" fontId="10" fillId="17" borderId="33" xfId="0" applyNumberFormat="1" applyFont="1" applyFill="1" applyBorder="1" applyAlignment="1" applyProtection="1">
      <alignment horizontal="center" vertical="center"/>
      <protection hidden="1"/>
    </xf>
    <xf numFmtId="167" fontId="9" fillId="17" borderId="6" xfId="1" applyNumberFormat="1" applyFont="1" applyFill="1" applyBorder="1" applyAlignment="1" applyProtection="1">
      <alignment vertical="center"/>
      <protection hidden="1"/>
    </xf>
    <xf numFmtId="182" fontId="9" fillId="17" borderId="9" xfId="1" applyNumberFormat="1" applyFont="1" applyFill="1" applyBorder="1" applyAlignment="1" applyProtection="1">
      <alignment vertical="center"/>
      <protection hidden="1"/>
    </xf>
    <xf numFmtId="164" fontId="10" fillId="17" borderId="4" xfId="8" applyNumberFormat="1" applyFont="1" applyFill="1" applyBorder="1" applyAlignment="1" applyProtection="1">
      <alignment horizontal="center" vertical="center"/>
      <protection hidden="1"/>
    </xf>
    <xf numFmtId="180" fontId="9" fillId="17" borderId="6" xfId="1" applyNumberFormat="1" applyFont="1" applyFill="1" applyBorder="1" applyAlignment="1" applyProtection="1">
      <alignment vertical="center"/>
      <protection hidden="1"/>
    </xf>
    <xf numFmtId="181" fontId="9" fillId="17" borderId="9" xfId="1" applyNumberFormat="1" applyFont="1" applyFill="1" applyBorder="1" applyAlignment="1" applyProtection="1">
      <alignment horizontal="right" vertical="center"/>
      <protection hidden="1"/>
    </xf>
    <xf numFmtId="164" fontId="10" fillId="17" borderId="33" xfId="8" applyNumberFormat="1" applyFont="1" applyFill="1" applyBorder="1" applyAlignment="1" applyProtection="1">
      <alignment horizontal="center" vertical="center"/>
      <protection hidden="1"/>
    </xf>
    <xf numFmtId="176" fontId="9" fillId="20" borderId="27" xfId="0" applyNumberFormat="1" applyFont="1" applyFill="1" applyBorder="1" applyAlignment="1" applyProtection="1">
      <alignment horizontal="right"/>
      <protection hidden="1"/>
    </xf>
    <xf numFmtId="167" fontId="10" fillId="17" borderId="11" xfId="0" applyNumberFormat="1" applyFont="1" applyFill="1" applyBorder="1" applyAlignment="1" applyProtection="1">
      <alignment horizontal="center" vertical="center"/>
      <protection hidden="1"/>
    </xf>
    <xf numFmtId="167" fontId="9" fillId="17" borderId="3" xfId="1" applyNumberFormat="1" applyFont="1" applyFill="1" applyBorder="1" applyAlignment="1" applyProtection="1">
      <alignment vertical="center"/>
      <protection hidden="1"/>
    </xf>
    <xf numFmtId="182" fontId="9" fillId="17" borderId="0" xfId="1" applyNumberFormat="1" applyFont="1" applyFill="1" applyAlignment="1" applyProtection="1">
      <alignment vertical="center"/>
      <protection hidden="1"/>
    </xf>
    <xf numFmtId="164" fontId="10" fillId="17" borderId="5" xfId="8" applyNumberFormat="1" applyFont="1" applyFill="1" applyBorder="1" applyAlignment="1" applyProtection="1">
      <alignment horizontal="center" vertical="center"/>
      <protection hidden="1"/>
    </xf>
    <xf numFmtId="180" fontId="9" fillId="17" borderId="3" xfId="1" applyNumberFormat="1" applyFont="1" applyFill="1" applyBorder="1" applyAlignment="1" applyProtection="1">
      <alignment horizontal="right" vertical="center"/>
      <protection hidden="1"/>
    </xf>
    <xf numFmtId="186" fontId="9" fillId="17" borderId="0" xfId="1" applyNumberFormat="1" applyFont="1" applyFill="1" applyAlignment="1" applyProtection="1">
      <alignment horizontal="right" vertical="center"/>
      <protection hidden="1"/>
    </xf>
    <xf numFmtId="187" fontId="9" fillId="17" borderId="0" xfId="1" applyNumberFormat="1" applyFont="1" applyFill="1" applyAlignment="1" applyProtection="1">
      <alignment vertical="center"/>
      <protection hidden="1"/>
    </xf>
    <xf numFmtId="164" fontId="10" fillId="17" borderId="11" xfId="8" applyNumberFormat="1" applyFont="1" applyFill="1" applyBorder="1" applyAlignment="1" applyProtection="1">
      <alignment horizontal="center" vertical="center"/>
      <protection hidden="1"/>
    </xf>
    <xf numFmtId="176" fontId="9" fillId="20" borderId="28" xfId="0" applyNumberFormat="1" applyFont="1" applyFill="1" applyBorder="1" applyAlignment="1" applyProtection="1">
      <alignment horizontal="right"/>
      <protection hidden="1"/>
    </xf>
    <xf numFmtId="167" fontId="10" fillId="17" borderId="11" xfId="0" applyNumberFormat="1" applyFont="1" applyFill="1" applyBorder="1" applyAlignment="1" applyProtection="1">
      <alignment vertical="center"/>
      <protection hidden="1"/>
    </xf>
    <xf numFmtId="188" fontId="9" fillId="20" borderId="1" xfId="1" applyNumberFormat="1" applyFont="1" applyFill="1" applyBorder="1" applyAlignment="1" applyProtection="1">
      <alignment horizontal="center"/>
      <protection hidden="1"/>
    </xf>
    <xf numFmtId="177" fontId="9" fillId="20" borderId="28" xfId="13" applyNumberFormat="1" applyFont="1" applyFill="1" applyBorder="1" applyAlignment="1" applyProtection="1">
      <protection hidden="1"/>
    </xf>
    <xf numFmtId="178" fontId="9" fillId="20" borderId="28" xfId="1" applyNumberFormat="1" applyFont="1" applyFill="1" applyBorder="1" applyAlignment="1" applyProtection="1">
      <alignment horizontal="right"/>
      <protection hidden="1"/>
    </xf>
    <xf numFmtId="177" fontId="10" fillId="20" borderId="28" xfId="13" applyNumberFormat="1" applyFont="1" applyFill="1" applyBorder="1" applyAlignment="1" applyProtection="1">
      <alignment horizontal="right"/>
      <protection hidden="1"/>
    </xf>
    <xf numFmtId="178" fontId="9" fillId="20" borderId="29" xfId="1" applyNumberFormat="1" applyFont="1" applyFill="1" applyBorder="1" applyAlignment="1" applyProtection="1">
      <alignment horizontal="right"/>
      <protection hidden="1"/>
    </xf>
    <xf numFmtId="175" fontId="9" fillId="20" borderId="1" xfId="8" applyNumberFormat="1" applyFont="1" applyFill="1" applyBorder="1" applyAlignment="1" applyProtection="1">
      <alignment horizontal="center" vertical="top"/>
      <protection hidden="1"/>
    </xf>
    <xf numFmtId="167" fontId="10" fillId="17" borderId="10" xfId="0" applyNumberFormat="1" applyFont="1" applyFill="1" applyBorder="1" applyAlignment="1" applyProtection="1">
      <alignment horizontal="center" vertical="center"/>
      <protection hidden="1"/>
    </xf>
    <xf numFmtId="167" fontId="9" fillId="17" borderId="7" xfId="1" applyNumberFormat="1" applyFont="1" applyFill="1" applyBorder="1" applyAlignment="1" applyProtection="1">
      <alignment vertical="center"/>
      <protection hidden="1"/>
    </xf>
    <xf numFmtId="182" fontId="9" fillId="17" borderId="2" xfId="1" applyNumberFormat="1" applyFont="1" applyFill="1" applyBorder="1" applyAlignment="1" applyProtection="1">
      <alignment vertical="center"/>
      <protection hidden="1"/>
    </xf>
    <xf numFmtId="164" fontId="10" fillId="17" borderId="8" xfId="8" applyNumberFormat="1" applyFont="1" applyFill="1" applyBorder="1" applyAlignment="1" applyProtection="1">
      <alignment horizontal="center" vertical="center"/>
      <protection hidden="1"/>
    </xf>
    <xf numFmtId="180" fontId="9" fillId="17" borderId="7" xfId="1" applyNumberFormat="1" applyFont="1" applyFill="1" applyBorder="1" applyAlignment="1" applyProtection="1">
      <alignment horizontal="right" vertical="center"/>
      <protection hidden="1"/>
    </xf>
    <xf numFmtId="186" fontId="9" fillId="17" borderId="2" xfId="1" applyNumberFormat="1" applyFont="1" applyFill="1" applyBorder="1" applyAlignment="1" applyProtection="1">
      <alignment horizontal="right" vertical="center"/>
      <protection hidden="1"/>
    </xf>
    <xf numFmtId="187" fontId="9" fillId="17" borderId="2" xfId="1" applyNumberFormat="1" applyFont="1" applyFill="1" applyBorder="1" applyAlignment="1" applyProtection="1">
      <alignment vertical="center"/>
      <protection hidden="1"/>
    </xf>
    <xf numFmtId="164" fontId="10" fillId="17" borderId="10" xfId="8" applyNumberFormat="1" applyFont="1" applyFill="1" applyBorder="1" applyAlignment="1" applyProtection="1">
      <alignment horizontal="center" vertical="center"/>
      <protection hidden="1"/>
    </xf>
    <xf numFmtId="38" fontId="44" fillId="17" borderId="0" xfId="1" applyNumberFormat="1" applyFont="1" applyFill="1" applyAlignment="1" applyProtection="1">
      <alignment horizontal="center"/>
      <protection hidden="1"/>
    </xf>
    <xf numFmtId="0" fontId="13" fillId="17" borderId="0" xfId="0" applyFont="1" applyFill="1" applyAlignment="1" applyProtection="1">
      <alignment horizontal="left" vertical="center" indent="1"/>
      <protection hidden="1"/>
    </xf>
    <xf numFmtId="169" fontId="9" fillId="20" borderId="9" xfId="0" quotePrefix="1" applyNumberFormat="1" applyFont="1" applyFill="1" applyBorder="1" applyAlignment="1" applyProtection="1">
      <alignment horizontal="left" vertical="center" indent="1"/>
      <protection hidden="1"/>
    </xf>
    <xf numFmtId="167" fontId="9" fillId="20" borderId="0" xfId="5" applyNumberFormat="1" applyFont="1" applyFill="1" applyAlignment="1" applyProtection="1">
      <alignment horizontal="left" indent="1"/>
      <protection hidden="1"/>
    </xf>
    <xf numFmtId="169" fontId="9" fillId="20" borderId="16" xfId="0" quotePrefix="1" applyNumberFormat="1" applyFont="1" applyFill="1" applyBorder="1" applyAlignment="1" applyProtection="1">
      <alignment horizontal="left" vertical="center" indent="1"/>
      <protection hidden="1"/>
    </xf>
    <xf numFmtId="38" fontId="31" fillId="20" borderId="12" xfId="5" applyNumberFormat="1" applyFont="1" applyFill="1" applyBorder="1" applyAlignment="1" applyProtection="1">
      <alignment horizontal="left" indent="1"/>
      <protection hidden="1"/>
    </xf>
    <xf numFmtId="38" fontId="31" fillId="20" borderId="2" xfId="5" applyNumberFormat="1" applyFont="1" applyFill="1" applyBorder="1" applyAlignment="1" applyProtection="1">
      <alignment horizontal="left" indent="1"/>
      <protection hidden="1"/>
    </xf>
    <xf numFmtId="0" fontId="0" fillId="0" borderId="0" xfId="0" applyProtection="1">
      <protection hidden="1"/>
    </xf>
    <xf numFmtId="0" fontId="101" fillId="17" borderId="0" xfId="15" applyFont="1" applyFill="1" applyAlignment="1" applyProtection="1">
      <alignment vertical="center"/>
      <protection hidden="1"/>
    </xf>
    <xf numFmtId="0" fontId="100" fillId="17" borderId="0" xfId="15" applyFill="1" applyAlignment="1" applyProtection="1">
      <alignment vertical="center"/>
      <protection hidden="1"/>
    </xf>
    <xf numFmtId="0" fontId="19" fillId="17" borderId="0" xfId="11" applyFont="1" applyFill="1" applyProtection="1">
      <protection hidden="1"/>
    </xf>
    <xf numFmtId="0" fontId="97" fillId="21" borderId="33" xfId="0" applyFont="1" applyFill="1" applyBorder="1" applyAlignment="1">
      <alignment horizontal="left" vertical="center" indent="1"/>
    </xf>
    <xf numFmtId="0" fontId="97" fillId="22" borderId="33" xfId="0" applyFont="1" applyFill="1" applyBorder="1" applyAlignment="1">
      <alignment horizontal="left" vertical="center" indent="1"/>
    </xf>
    <xf numFmtId="0" fontId="97" fillId="23" borderId="33" xfId="0" applyFont="1" applyFill="1" applyBorder="1" applyAlignment="1">
      <alignment horizontal="left" vertical="center" indent="1"/>
    </xf>
    <xf numFmtId="0" fontId="99" fillId="24" borderId="35" xfId="0" applyFont="1" applyFill="1" applyBorder="1" applyAlignment="1">
      <alignment horizontal="left" vertical="center" indent="1" readingOrder="1"/>
    </xf>
    <xf numFmtId="0" fontId="99" fillId="25" borderId="35" xfId="0" applyFont="1" applyFill="1" applyBorder="1" applyAlignment="1">
      <alignment horizontal="left" vertical="center" indent="1" readingOrder="1"/>
    </xf>
    <xf numFmtId="0" fontId="99" fillId="26" borderId="35" xfId="0" applyFont="1" applyFill="1" applyBorder="1" applyAlignment="1">
      <alignment horizontal="left" vertical="center" indent="1" readingOrder="1"/>
    </xf>
    <xf numFmtId="0" fontId="99" fillId="24" borderId="11" xfId="0" applyFont="1" applyFill="1" applyBorder="1" applyAlignment="1">
      <alignment horizontal="left" vertical="center" indent="1" readingOrder="1"/>
    </xf>
    <xf numFmtId="0" fontId="99" fillId="25" borderId="11" xfId="0" applyFont="1" applyFill="1" applyBorder="1" applyAlignment="1">
      <alignment horizontal="left" vertical="center" indent="1" readingOrder="1"/>
    </xf>
    <xf numFmtId="0" fontId="99" fillId="26" borderId="11" xfId="0" applyFont="1" applyFill="1" applyBorder="1" applyAlignment="1">
      <alignment horizontal="left" vertical="center" indent="1" readingOrder="1"/>
    </xf>
    <xf numFmtId="0" fontId="99" fillId="24" borderId="10" xfId="0" applyFont="1" applyFill="1" applyBorder="1" applyAlignment="1">
      <alignment horizontal="left" vertical="center" indent="1" readingOrder="1"/>
    </xf>
    <xf numFmtId="0" fontId="99" fillId="25" borderId="10" xfId="0" applyFont="1" applyFill="1" applyBorder="1" applyAlignment="1">
      <alignment horizontal="left" vertical="center" indent="1" readingOrder="1"/>
    </xf>
    <xf numFmtId="0" fontId="99" fillId="26" borderId="10" xfId="0" applyFont="1" applyFill="1" applyBorder="1" applyAlignment="1">
      <alignment horizontal="left" vertical="center" indent="1" readingOrder="1"/>
    </xf>
    <xf numFmtId="0" fontId="101" fillId="17" borderId="0" xfId="15" applyFont="1" applyFill="1" applyAlignment="1" applyProtection="1">
      <alignment horizontal="center" vertical="center"/>
      <protection hidden="1"/>
    </xf>
    <xf numFmtId="0" fontId="92" fillId="17" borderId="0" xfId="0" applyFont="1" applyFill="1" applyAlignment="1" applyProtection="1">
      <alignment horizontal="center" vertical="center"/>
      <protection hidden="1"/>
    </xf>
    <xf numFmtId="0" fontId="94" fillId="17" borderId="0" xfId="0" applyFont="1" applyFill="1" applyAlignment="1" applyProtection="1">
      <alignment horizontal="center" vertical="center"/>
      <protection hidden="1"/>
    </xf>
    <xf numFmtId="0" fontId="26" fillId="19" borderId="13" xfId="0" applyFont="1" applyFill="1" applyBorder="1" applyAlignment="1" applyProtection="1">
      <alignment horizontal="center" vertical="center"/>
      <protection hidden="1"/>
    </xf>
    <xf numFmtId="0" fontId="26" fillId="19" borderId="34" xfId="0" applyFont="1" applyFill="1" applyBorder="1" applyAlignment="1" applyProtection="1">
      <alignment horizontal="center" vertical="center"/>
      <protection hidden="1"/>
    </xf>
    <xf numFmtId="0" fontId="26" fillId="9" borderId="13" xfId="0" applyFont="1" applyFill="1" applyBorder="1" applyAlignment="1" applyProtection="1">
      <alignment horizontal="center" vertical="center"/>
      <protection hidden="1"/>
    </xf>
    <xf numFmtId="0" fontId="26" fillId="9" borderId="14" xfId="0" applyFont="1" applyFill="1" applyBorder="1" applyAlignment="1" applyProtection="1">
      <alignment horizontal="center" vertical="center"/>
      <protection hidden="1"/>
    </xf>
    <xf numFmtId="38" fontId="83" fillId="17" borderId="0" xfId="5" applyNumberFormat="1" applyFont="1" applyFill="1" applyAlignment="1" applyProtection="1">
      <alignment wrapText="1"/>
      <protection hidden="1"/>
    </xf>
    <xf numFmtId="38" fontId="9" fillId="17" borderId="2" xfId="5" applyNumberFormat="1" applyFont="1" applyFill="1" applyBorder="1" applyAlignment="1" applyProtection="1">
      <alignment horizontal="center"/>
      <protection hidden="1"/>
    </xf>
    <xf numFmtId="38" fontId="13" fillId="17" borderId="9" xfId="5" applyNumberFormat="1" applyFont="1" applyFill="1" applyBorder="1" applyAlignment="1" applyProtection="1">
      <alignment horizontal="center" vertical="top"/>
      <protection hidden="1"/>
    </xf>
    <xf numFmtId="165" fontId="32" fillId="17" borderId="0" xfId="5" quotePrefix="1" applyNumberFormat="1" applyFont="1" applyFill="1" applyAlignment="1" applyProtection="1">
      <alignment horizontal="left"/>
      <protection hidden="1"/>
    </xf>
    <xf numFmtId="165" fontId="22" fillId="17" borderId="0" xfId="5" applyNumberFormat="1" applyFont="1" applyFill="1" applyAlignment="1" applyProtection="1">
      <alignment horizontal="left" vertical="center"/>
      <protection hidden="1"/>
    </xf>
    <xf numFmtId="165" fontId="13" fillId="17" borderId="0" xfId="5" applyNumberFormat="1" applyFont="1" applyFill="1" applyAlignment="1" applyProtection="1">
      <alignment horizontal="left"/>
      <protection hidden="1"/>
    </xf>
    <xf numFmtId="38" fontId="9" fillId="20" borderId="2" xfId="5" applyNumberFormat="1" applyFont="1" applyFill="1" applyBorder="1" applyAlignment="1" applyProtection="1">
      <alignment horizontal="left"/>
      <protection hidden="1"/>
    </xf>
    <xf numFmtId="38" fontId="9" fillId="20" borderId="12" xfId="5" applyNumberFormat="1" applyFont="1" applyFill="1" applyBorder="1" applyAlignment="1" applyProtection="1">
      <alignment horizontal="left"/>
      <protection hidden="1"/>
    </xf>
    <xf numFmtId="38" fontId="9" fillId="20" borderId="0" xfId="5" applyNumberFormat="1" applyFont="1" applyFill="1" applyAlignment="1" applyProtection="1">
      <alignment horizontal="left"/>
      <protection hidden="1"/>
    </xf>
    <xf numFmtId="169" fontId="11" fillId="17" borderId="0" xfId="5" applyNumberFormat="1" applyFont="1" applyFill="1" applyAlignment="1" applyProtection="1">
      <alignment horizontal="left" vertical="top"/>
      <protection hidden="1"/>
    </xf>
    <xf numFmtId="170" fontId="9" fillId="20" borderId="9" xfId="5" applyNumberFormat="1" applyFont="1" applyFill="1" applyBorder="1" applyAlignment="1" applyProtection="1">
      <alignment horizontal="right" vertical="center" indent="1"/>
      <protection hidden="1"/>
    </xf>
    <xf numFmtId="170" fontId="9" fillId="20" borderId="0" xfId="5" applyNumberFormat="1" applyFont="1" applyFill="1" applyAlignment="1" applyProtection="1">
      <alignment horizontal="right" vertical="center" indent="1"/>
      <protection hidden="1"/>
    </xf>
    <xf numFmtId="169" fontId="11" fillId="17" borderId="0" xfId="5" applyNumberFormat="1" applyFont="1" applyFill="1" applyAlignment="1" applyProtection="1">
      <alignment horizontal="center" vertical="top"/>
      <protection hidden="1"/>
    </xf>
    <xf numFmtId="170" fontId="9" fillId="20" borderId="12" xfId="5" applyNumberFormat="1" applyFont="1" applyFill="1" applyBorder="1" applyAlignment="1" applyProtection="1">
      <alignment horizontal="right" vertical="center" indent="1"/>
      <protection hidden="1"/>
    </xf>
    <xf numFmtId="170" fontId="9" fillId="20" borderId="2" xfId="5" applyNumberFormat="1" applyFont="1" applyFill="1" applyBorder="1" applyAlignment="1" applyProtection="1">
      <alignment horizontal="right" vertical="center" indent="1"/>
      <protection hidden="1"/>
    </xf>
    <xf numFmtId="169" fontId="11" fillId="17" borderId="0" xfId="5" applyNumberFormat="1" applyFont="1" applyFill="1" applyAlignment="1" applyProtection="1">
      <alignment horizontal="center"/>
      <protection hidden="1"/>
    </xf>
    <xf numFmtId="169" fontId="11" fillId="17" borderId="0" xfId="5" applyNumberFormat="1" applyFont="1" applyFill="1" applyAlignment="1" applyProtection="1">
      <alignment horizontal="left"/>
      <protection hidden="1"/>
    </xf>
    <xf numFmtId="38" fontId="9" fillId="20" borderId="0" xfId="5" applyNumberFormat="1" applyFont="1" applyFill="1" applyProtection="1">
      <protection hidden="1"/>
    </xf>
    <xf numFmtId="170" fontId="11" fillId="20" borderId="12" xfId="5" applyNumberFormat="1" applyFont="1" applyFill="1" applyBorder="1" applyAlignment="1" applyProtection="1">
      <alignment horizontal="right" vertical="center" indent="1"/>
      <protection hidden="1"/>
    </xf>
    <xf numFmtId="38" fontId="9" fillId="20" borderId="16" xfId="5" applyNumberFormat="1" applyFont="1" applyFill="1" applyBorder="1" applyProtection="1">
      <protection hidden="1"/>
    </xf>
    <xf numFmtId="38" fontId="9" fillId="20" borderId="9" xfId="5" applyNumberFormat="1" applyFont="1" applyFill="1" applyBorder="1" applyAlignment="1" applyProtection="1">
      <alignment horizontal="center"/>
      <protection hidden="1"/>
    </xf>
    <xf numFmtId="38" fontId="9" fillId="20" borderId="16" xfId="5" applyNumberFormat="1" applyFont="1" applyFill="1" applyBorder="1" applyAlignment="1" applyProtection="1">
      <alignment horizontal="left"/>
      <protection hidden="1"/>
    </xf>
    <xf numFmtId="170" fontId="18" fillId="20" borderId="3" xfId="7" applyNumberFormat="1" applyFont="1" applyFill="1" applyBorder="1" applyAlignment="1" applyProtection="1">
      <alignment horizontal="left" indent="1"/>
      <protection hidden="1"/>
    </xf>
    <xf numFmtId="170" fontId="18" fillId="20" borderId="0" xfId="7" applyNumberFormat="1" applyFont="1" applyFill="1" applyAlignment="1" applyProtection="1">
      <alignment horizontal="left" indent="1"/>
      <protection hidden="1"/>
    </xf>
    <xf numFmtId="170" fontId="9" fillId="20" borderId="5" xfId="5" applyNumberFormat="1" applyFont="1" applyFill="1" applyBorder="1" applyAlignment="1" applyProtection="1">
      <alignment horizontal="right" indent="1"/>
      <protection hidden="1"/>
    </xf>
    <xf numFmtId="38" fontId="9" fillId="17" borderId="0" xfId="7" applyNumberFormat="1" applyFont="1" applyFill="1" applyAlignment="1" applyProtection="1">
      <alignment horizontal="left" vertical="top" indent="1"/>
      <protection hidden="1"/>
    </xf>
    <xf numFmtId="38" fontId="9" fillId="17" borderId="0" xfId="7" applyNumberFormat="1" applyFont="1" applyFill="1" applyAlignment="1" applyProtection="1">
      <alignment horizontal="left" vertical="top"/>
      <protection hidden="1"/>
    </xf>
    <xf numFmtId="0" fontId="9" fillId="17" borderId="0" xfId="0" applyFont="1" applyFill="1" applyAlignment="1" applyProtection="1">
      <alignment horizontal="left"/>
      <protection hidden="1"/>
    </xf>
    <xf numFmtId="38" fontId="18" fillId="20" borderId="6" xfId="5" applyNumberFormat="1" applyFont="1" applyFill="1" applyBorder="1" applyAlignment="1" applyProtection="1">
      <alignment horizontal="left" indent="1"/>
      <protection hidden="1"/>
    </xf>
    <xf numFmtId="38" fontId="18" fillId="20" borderId="9" xfId="5" applyNumberFormat="1" applyFont="1" applyFill="1" applyBorder="1" applyAlignment="1" applyProtection="1">
      <alignment horizontal="left" indent="1"/>
      <protection hidden="1"/>
    </xf>
    <xf numFmtId="38" fontId="18" fillId="20" borderId="3" xfId="5" applyNumberFormat="1" applyFont="1" applyFill="1" applyBorder="1" applyAlignment="1" applyProtection="1">
      <alignment horizontal="left" indent="1"/>
      <protection hidden="1"/>
    </xf>
    <xf numFmtId="38" fontId="18" fillId="20" borderId="0" xfId="5" applyNumberFormat="1" applyFont="1" applyFill="1" applyAlignment="1" applyProtection="1">
      <alignment horizontal="left" indent="1"/>
      <protection hidden="1"/>
    </xf>
    <xf numFmtId="170" fontId="9" fillId="20" borderId="4" xfId="5" applyNumberFormat="1" applyFont="1" applyFill="1" applyBorder="1" applyAlignment="1" applyProtection="1">
      <alignment horizontal="right" indent="1"/>
      <protection hidden="1"/>
    </xf>
    <xf numFmtId="0" fontId="9" fillId="17" borderId="0" xfId="5" applyFont="1" applyFill="1" applyAlignment="1" applyProtection="1">
      <alignment horizontal="left" vertical="center"/>
      <protection hidden="1"/>
    </xf>
    <xf numFmtId="175" fontId="9" fillId="20" borderId="13" xfId="13" applyNumberFormat="1" applyFont="1" applyFill="1" applyBorder="1" applyAlignment="1" applyProtection="1">
      <alignment horizontal="center"/>
      <protection hidden="1"/>
    </xf>
    <xf numFmtId="175" fontId="9" fillId="20" borderId="22" xfId="13" applyNumberFormat="1" applyFont="1" applyFill="1" applyBorder="1" applyAlignment="1" applyProtection="1">
      <alignment horizontal="center"/>
      <protection hidden="1"/>
    </xf>
    <xf numFmtId="175" fontId="9" fillId="20" borderId="14" xfId="13" applyNumberFormat="1" applyFont="1" applyFill="1" applyBorder="1" applyAlignment="1" applyProtection="1">
      <alignment horizontal="center"/>
      <protection hidden="1"/>
    </xf>
    <xf numFmtId="167" fontId="9" fillId="20" borderId="9" xfId="12" applyNumberFormat="1" applyFont="1" applyFill="1" applyBorder="1" applyAlignment="1" applyProtection="1">
      <alignment horizontal="center" vertical="center"/>
      <protection hidden="1"/>
    </xf>
    <xf numFmtId="167" fontId="9" fillId="20" borderId="2" xfId="12" applyNumberFormat="1" applyFont="1" applyFill="1" applyBorder="1" applyAlignment="1" applyProtection="1">
      <alignment horizontal="center" vertical="center"/>
      <protection hidden="1"/>
    </xf>
    <xf numFmtId="38" fontId="13" fillId="20" borderId="6" xfId="10" quotePrefix="1" applyNumberFormat="1" applyFont="1" applyFill="1" applyBorder="1" applyAlignment="1" applyProtection="1">
      <alignment vertical="center"/>
      <protection hidden="1"/>
    </xf>
    <xf numFmtId="38" fontId="13" fillId="20" borderId="7" xfId="10" quotePrefix="1" applyNumberFormat="1" applyFont="1" applyFill="1" applyBorder="1" applyAlignment="1" applyProtection="1">
      <alignment vertical="center"/>
      <protection hidden="1"/>
    </xf>
    <xf numFmtId="167" fontId="9" fillId="20" borderId="22" xfId="12" applyNumberFormat="1" applyFont="1" applyFill="1" applyBorder="1" applyAlignment="1" applyProtection="1">
      <alignment horizontal="left"/>
      <protection hidden="1"/>
    </xf>
    <xf numFmtId="167" fontId="9" fillId="20" borderId="22" xfId="12" applyNumberFormat="1" applyFont="1" applyFill="1" applyBorder="1" applyAlignment="1" applyProtection="1">
      <alignment horizontal="center" vertical="top"/>
      <protection hidden="1"/>
    </xf>
    <xf numFmtId="164" fontId="9" fillId="20" borderId="9" xfId="13" applyNumberFormat="1" applyFont="1" applyFill="1" applyBorder="1" applyAlignment="1" applyProtection="1">
      <alignment horizontal="center" vertical="center"/>
      <protection hidden="1"/>
    </xf>
    <xf numFmtId="164" fontId="9" fillId="20" borderId="2" xfId="13" applyNumberFormat="1" applyFont="1" applyFill="1" applyBorder="1" applyAlignment="1" applyProtection="1">
      <alignment horizontal="center" vertical="center"/>
      <protection hidden="1"/>
    </xf>
    <xf numFmtId="164" fontId="9" fillId="20" borderId="9" xfId="13" applyNumberFormat="1" applyFont="1" applyFill="1" applyBorder="1" applyAlignment="1" applyProtection="1">
      <alignment horizontal="center" vertical="center" wrapText="1"/>
      <protection hidden="1"/>
    </xf>
    <xf numFmtId="164" fontId="9" fillId="20" borderId="2" xfId="13" applyNumberFormat="1" applyFont="1" applyFill="1" applyBorder="1" applyAlignment="1" applyProtection="1">
      <alignment horizontal="center" vertical="center" wrapText="1"/>
      <protection hidden="1"/>
    </xf>
    <xf numFmtId="38" fontId="49" fillId="17" borderId="0" xfId="5" applyNumberFormat="1" applyFont="1" applyFill="1" applyAlignment="1" applyProtection="1">
      <alignment horizontal="center" vertical="center"/>
      <protection hidden="1"/>
    </xf>
    <xf numFmtId="0" fontId="11" fillId="17" borderId="0" xfId="10" applyFont="1" applyFill="1" applyAlignment="1" applyProtection="1">
      <alignment horizontal="left"/>
      <protection hidden="1"/>
    </xf>
    <xf numFmtId="165" fontId="9" fillId="20" borderId="3" xfId="0" applyNumberFormat="1" applyFont="1" applyFill="1" applyBorder="1" applyAlignment="1" applyProtection="1">
      <alignment horizontal="left" vertical="center" indent="1"/>
      <protection hidden="1"/>
    </xf>
    <xf numFmtId="165" fontId="9" fillId="20" borderId="0" xfId="0" applyNumberFormat="1" applyFont="1" applyFill="1" applyAlignment="1" applyProtection="1">
      <alignment horizontal="left" vertical="center" indent="1"/>
      <protection hidden="1"/>
    </xf>
    <xf numFmtId="165" fontId="83" fillId="17" borderId="0" xfId="0" applyNumberFormat="1" applyFont="1" applyFill="1" applyAlignment="1" applyProtection="1">
      <alignment horizontal="center"/>
      <protection hidden="1"/>
    </xf>
    <xf numFmtId="168" fontId="13" fillId="20" borderId="5" xfId="0" applyNumberFormat="1" applyFont="1" applyFill="1" applyBorder="1" applyAlignment="1" applyProtection="1">
      <alignment horizontal="right" vertical="center" indent="1"/>
      <protection hidden="1"/>
    </xf>
    <xf numFmtId="168" fontId="13" fillId="20" borderId="0" xfId="0" applyNumberFormat="1" applyFont="1" applyFill="1" applyAlignment="1" applyProtection="1">
      <alignment horizontal="right" vertical="center"/>
      <protection hidden="1"/>
    </xf>
    <xf numFmtId="0" fontId="9" fillId="20" borderId="2" xfId="10" quotePrefix="1" applyFont="1" applyFill="1" applyBorder="1" applyAlignment="1" applyProtection="1">
      <alignment horizontal="center"/>
      <protection hidden="1"/>
    </xf>
    <xf numFmtId="0" fontId="9" fillId="20" borderId="9" xfId="10" applyFont="1" applyFill="1" applyBorder="1" applyAlignment="1" applyProtection="1">
      <alignment horizontal="center"/>
      <protection hidden="1"/>
    </xf>
    <xf numFmtId="0" fontId="9" fillId="20" borderId="0" xfId="10" applyFont="1" applyFill="1" applyAlignment="1" applyProtection="1">
      <alignment vertical="center"/>
      <protection hidden="1"/>
    </xf>
    <xf numFmtId="0" fontId="9" fillId="20" borderId="0" xfId="10" applyFont="1" applyFill="1" applyAlignment="1" applyProtection="1">
      <alignment horizontal="left" vertical="center"/>
      <protection hidden="1"/>
    </xf>
    <xf numFmtId="3" fontId="9" fillId="20" borderId="0" xfId="10" applyNumberFormat="1" applyFont="1" applyFill="1" applyAlignment="1" applyProtection="1">
      <alignment horizontal="right" vertical="center"/>
      <protection hidden="1"/>
    </xf>
    <xf numFmtId="0" fontId="9" fillId="20" borderId="2" xfId="10" applyFont="1" applyFill="1" applyBorder="1" applyAlignment="1" applyProtection="1">
      <alignment horizontal="center"/>
      <protection hidden="1"/>
    </xf>
    <xf numFmtId="0" fontId="9" fillId="20" borderId="0" xfId="10" applyFont="1" applyFill="1" applyAlignment="1" applyProtection="1">
      <alignment horizontal="center" vertical="center"/>
      <protection hidden="1"/>
    </xf>
    <xf numFmtId="38" fontId="9" fillId="17" borderId="0" xfId="1" applyNumberFormat="1" applyFont="1" applyFill="1" applyAlignment="1" applyProtection="1">
      <alignment horizontal="left" indent="1"/>
      <protection hidden="1"/>
    </xf>
    <xf numFmtId="38" fontId="9" fillId="17" borderId="0" xfId="1" applyNumberFormat="1" applyFont="1" applyFill="1" applyAlignment="1" applyProtection="1">
      <alignment horizontal="left"/>
      <protection hidden="1"/>
    </xf>
    <xf numFmtId="0" fontId="10" fillId="17" borderId="0" xfId="0" applyFont="1" applyFill="1" applyAlignment="1" applyProtection="1">
      <alignment horizontal="left" vertical="top" indent="1"/>
      <protection hidden="1"/>
    </xf>
    <xf numFmtId="0" fontId="49" fillId="17" borderId="0" xfId="0" applyFont="1" applyFill="1" applyAlignment="1" applyProtection="1">
      <alignment horizontal="left" indent="1"/>
      <protection hidden="1"/>
    </xf>
    <xf numFmtId="9" fontId="62" fillId="17" borderId="2" xfId="8" applyFont="1" applyFill="1" applyBorder="1" applyAlignment="1" applyProtection="1">
      <alignment horizontal="center"/>
      <protection hidden="1"/>
    </xf>
    <xf numFmtId="38" fontId="78" fillId="18" borderId="25" xfId="1" applyNumberFormat="1" applyFont="1" applyFill="1" applyBorder="1" applyAlignment="1" applyProtection="1">
      <alignment horizontal="center" vertical="center"/>
      <protection hidden="1"/>
    </xf>
    <xf numFmtId="38" fontId="78" fillId="18" borderId="26" xfId="1" applyNumberFormat="1" applyFont="1" applyFill="1" applyBorder="1" applyAlignment="1" applyProtection="1">
      <alignment horizontal="center" vertical="center"/>
      <protection hidden="1"/>
    </xf>
    <xf numFmtId="38" fontId="9" fillId="18" borderId="25" xfId="1" applyNumberFormat="1" applyFont="1" applyFill="1" applyBorder="1" applyAlignment="1" applyProtection="1">
      <alignment horizontal="center" vertical="center"/>
      <protection hidden="1"/>
    </xf>
    <xf numFmtId="38" fontId="9" fillId="18" borderId="26" xfId="1" applyNumberFormat="1" applyFont="1" applyFill="1" applyBorder="1" applyAlignment="1" applyProtection="1">
      <alignment horizontal="center" vertical="center"/>
      <protection hidden="1"/>
    </xf>
  </cellXfs>
  <cellStyles count="16">
    <cellStyle name="Hyperlink" xfId="15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2 2 2" xfId="10" xr:uid="{EB4AE8EA-90B0-41E2-9E45-B1E138FA3E70}"/>
    <cellStyle name="Normal 2 2 3" xfId="11" xr:uid="{7705BEBF-758B-44BD-AF83-5AC03DA4C488}"/>
    <cellStyle name="Normal 2 3" xfId="7" xr:uid="{00000000-0005-0000-0000-000004000000}"/>
    <cellStyle name="Normal 2 3 2" xfId="9" xr:uid="{14190DC9-46A4-4EC1-853C-DE5B633F58D2}"/>
    <cellStyle name="Normal 3 2" xfId="12" xr:uid="{BED1A801-84DA-4C02-A649-64820AEFE5CB}"/>
    <cellStyle name="Normal 4" xfId="14" xr:uid="{FEF4D52F-0897-4823-AB24-4E1B2905047D}"/>
    <cellStyle name="Normal_Chapter 2 and 4 and 5 Worksheets 2" xfId="4" xr:uid="{00000000-0005-0000-0000-000005000000}"/>
    <cellStyle name="Percent" xfId="8" builtinId="5"/>
    <cellStyle name="Percent 2" xfId="2" xr:uid="{00000000-0005-0000-0000-000006000000}"/>
    <cellStyle name="Percent 2 2" xfId="6" xr:uid="{00000000-0005-0000-0000-000007000000}"/>
    <cellStyle name="Percent 3" xfId="13" xr:uid="{2FD81E36-59C7-45B6-B564-71834A22F18B}"/>
    <cellStyle name="ShadedHeadings" xfId="3" xr:uid="{00000000-0005-0000-0000-000008000000}"/>
  </cellStyles>
  <dxfs count="7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0000CC"/>
      <color rgb="FF0000FF"/>
      <color rgb="FFF7F7F7"/>
      <color rgb="FFFFFFE5"/>
      <color rgb="FF006800"/>
      <color rgb="FF00007E"/>
      <color rgb="FF00009E"/>
      <color rgb="FFF0F8FA"/>
      <color rgb="FFFAFAFA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290330088290072E-3"/>
          <c:y val="0.12879086136960152"/>
          <c:w val="0.98879147212193497"/>
          <c:h val="0.8484818659031258"/>
        </c:manualLayout>
      </c:layout>
      <c:barChart>
        <c:barDir val="col"/>
        <c:grouping val="percentStacked"/>
        <c:varyColors val="0"/>
        <c:ser>
          <c:idx val="4"/>
          <c:order val="0"/>
          <c:tx>
            <c:strRef>
              <c:f>WACC!$Q$19</c:f>
              <c:strCache>
                <c:ptCount val="1"/>
                <c:pt idx="0">
                  <c:v>Common Stock</c:v>
                </c:pt>
              </c:strCache>
            </c:strRef>
          </c:tx>
          <c:spPr>
            <a:solidFill>
              <a:srgbClr val="E1E5EB"/>
            </a:solidFill>
            <a:ln w="3175">
              <a:solidFill>
                <a:schemeClr val="bg1">
                  <a:lumMod val="50000"/>
                </a:schemeClr>
              </a:solidFill>
              <a:prstDash val="solid"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7A-4245-A662-CEE26BEF6D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7A-4245-A662-CEE26BEF6D9B}"/>
              </c:ext>
            </c:extLst>
          </c:dPt>
          <c:dLbls>
            <c:dLbl>
              <c:idx val="0"/>
              <c:numFmt formatCode="0.0%" sourceLinked="0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54864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68978732568513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67A-4245-A662-CEE26BEF6D9B}"/>
                </c:ext>
              </c:extLst>
            </c:dLbl>
            <c:dLbl>
              <c:idx val="1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54864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68978732568513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267A-4245-A662-CEE26BEF6D9B}"/>
                </c:ext>
              </c:extLst>
            </c:dLbl>
            <c:dLbl>
              <c:idx val="2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54864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068978732568513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67A-4245-A662-CEE26BEF6D9B}"/>
                </c:ext>
              </c:extLst>
            </c:dLbl>
            <c:dLbl>
              <c:idx val="3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91440" tIns="19050" rIns="38100" bIns="19050" anchor="ctr" anchorCtr="0">
                  <a:noAutofit/>
                </a:bodyPr>
                <a:lstStyle/>
                <a:p>
                  <a:pPr algn="l">
                    <a:defRPr sz="1000"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646078407541093"/>
                      <c:h val="8.44611835557474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67A-4245-A662-CEE26BEF6D9B}"/>
                </c:ext>
              </c:extLst>
            </c:dLbl>
            <c:spPr>
              <a:solidFill>
                <a:srgbClr val="E1E5EB"/>
              </a:solidFill>
              <a:ln>
                <a:noFill/>
              </a:ln>
              <a:effectLst/>
            </c:spPr>
            <c:txPr>
              <a:bodyPr vertOverflow="overflow" horzOverflow="overflow" wrap="none" lIns="38100" tIns="19050" rIns="38100" bIns="19050" anchor="ctr">
                <a:noAutofit/>
              </a:bodyPr>
              <a:lstStyle/>
              <a:p>
                <a:pPr>
                  <a:defRPr sz="9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WACC!$R$18:$U$18</c:f>
              <c:strCache>
                <c:ptCount val="3"/>
                <c:pt idx="0">
                  <c:v>Weighted cost</c:v>
                </c:pt>
                <c:pt idx="1">
                  <c:v>Cost of Capital</c:v>
                </c:pt>
                <c:pt idx="2">
                  <c:v>Pct of total</c:v>
                </c:pt>
              </c:strCache>
            </c:strRef>
          </c:cat>
          <c:val>
            <c:numRef>
              <c:f>WACC!$R$19:$U$19</c:f>
              <c:numCache>
                <c:formatCode>0.0%</c:formatCode>
                <c:ptCount val="4"/>
                <c:pt idx="0" formatCode="General">
                  <c:v>1.3978947368421053E-2</c:v>
                </c:pt>
                <c:pt idx="1">
                  <c:v>4.1500000000000002E-2</c:v>
                </c:pt>
                <c:pt idx="2">
                  <c:v>0.33684210526315789</c:v>
                </c:pt>
                <c:pt idx="3" formatCode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7A-4245-A662-CEE26BEF6D9B}"/>
            </c:ext>
          </c:extLst>
        </c:ser>
        <c:ser>
          <c:idx val="3"/>
          <c:order val="1"/>
          <c:tx>
            <c:strRef>
              <c:f>WACC!$Q$20</c:f>
              <c:strCache>
                <c:ptCount val="1"/>
                <c:pt idx="0">
                  <c:v>Preferred stock</c:v>
                </c:pt>
              </c:strCache>
            </c:strRef>
          </c:tx>
          <c:spPr>
            <a:solidFill>
              <a:srgbClr val="F2F3F6"/>
            </a:solidFill>
            <a:ln w="3175">
              <a:solidFill>
                <a:schemeClr val="bg1">
                  <a:lumMod val="50000"/>
                </a:schemeClr>
              </a:solidFill>
              <a:prstDash val="solid"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7A-4245-A662-CEE26BEF6D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7A-4245-A662-CEE26BEF6D9B}"/>
              </c:ext>
            </c:extLst>
          </c:dPt>
          <c:dLbls>
            <c:dLbl>
              <c:idx val="0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18288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0618995831637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67A-4245-A662-CEE26BEF6D9B}"/>
                </c:ext>
              </c:extLst>
            </c:dLbl>
            <c:dLbl>
              <c:idx val="1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18288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00618995831637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67A-4245-A662-CEE26BEF6D9B}"/>
                </c:ext>
              </c:extLst>
            </c:dLbl>
            <c:dLbl>
              <c:idx val="2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182880" tIns="19050" rIns="0" bIns="19050" anchor="ctr">
                  <a:noAutofit/>
                </a:bodyPr>
                <a:lstStyle/>
                <a:p>
                  <a:pPr>
                    <a:defRPr sz="950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068978732568513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67A-4245-A662-CEE26BEF6D9B}"/>
                </c:ext>
              </c:extLst>
            </c:dLbl>
            <c:dLbl>
              <c:idx val="3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vertOverflow="overflow" horzOverflow="overflow" wrap="none" lIns="91440" tIns="19050" rIns="38100" bIns="19050" anchor="ctr" anchorCtr="0">
                  <a:noAutofit/>
                </a:bodyPr>
                <a:lstStyle/>
                <a:p>
                  <a:pPr algn="l">
                    <a:defRPr sz="1000"/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646078407541093"/>
                      <c:h val="8.44611835557474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267A-4245-A662-CEE26BEF6D9B}"/>
                </c:ext>
              </c:extLst>
            </c:dLbl>
            <c:spPr>
              <a:solidFill>
                <a:srgbClr val="F2F3F6"/>
              </a:solidFill>
              <a:ln>
                <a:noFill/>
              </a:ln>
              <a:effectLst/>
            </c:spPr>
            <c:txPr>
              <a:bodyPr vertOverflow="overflow" horzOverflow="overflow" wrap="none" lIns="38100" tIns="19050" rIns="38100" bIns="19050" anchor="ctr">
                <a:noAutofit/>
              </a:bodyPr>
              <a:lstStyle/>
              <a:p>
                <a:pPr>
                  <a:defRPr sz="95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WACC!$R$18:$U$18</c:f>
              <c:strCache>
                <c:ptCount val="3"/>
                <c:pt idx="0">
                  <c:v>Weighted cost</c:v>
                </c:pt>
                <c:pt idx="1">
                  <c:v>Cost of Capital</c:v>
                </c:pt>
                <c:pt idx="2">
                  <c:v>Pct of total</c:v>
                </c:pt>
              </c:strCache>
            </c:strRef>
          </c:cat>
          <c:val>
            <c:numRef>
              <c:f>WACC!$R$20:$U$20</c:f>
              <c:numCache>
                <c:formatCode>0.0%</c:formatCode>
                <c:ptCount val="4"/>
                <c:pt idx="0">
                  <c:v>4.3684210526315787E-3</c:v>
                </c:pt>
                <c:pt idx="1">
                  <c:v>4.1500000000000002E-2</c:v>
                </c:pt>
                <c:pt idx="2">
                  <c:v>0.10526315789473684</c:v>
                </c:pt>
                <c:pt idx="3" formatCode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7A-4245-A662-CEE26BEF6D9B}"/>
            </c:ext>
          </c:extLst>
        </c:ser>
        <c:ser>
          <c:idx val="2"/>
          <c:order val="2"/>
          <c:tx>
            <c:strRef>
              <c:f>WACC!$Q$21</c:f>
              <c:strCache>
                <c:ptCount val="1"/>
                <c:pt idx="0">
                  <c:v>Long-term debt</c:v>
                </c:pt>
              </c:strCache>
            </c:strRef>
          </c:tx>
          <c:spPr>
            <a:solidFill>
              <a:srgbClr val="E1E5EB"/>
            </a:solidFill>
            <a:ln w="3175">
              <a:solidFill>
                <a:schemeClr val="bg1">
                  <a:lumMod val="50000"/>
                </a:schemeClr>
              </a:solidFill>
              <a:prstDash val="solid"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7A-4245-A662-CEE26BEF6D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7A-4245-A662-CEE26BEF6D9B}"/>
              </c:ext>
            </c:extLst>
          </c:dPt>
          <c:dLbls>
            <c:dLbl>
              <c:idx val="0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274320" anchor="ctr" anchorCtr="1"/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00618995831637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267A-4245-A662-CEE26BEF6D9B}"/>
                </c:ext>
              </c:extLst>
            </c:dLbl>
            <c:dLbl>
              <c:idx val="1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274320" anchor="ctr" anchorCtr="1"/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00618995831637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267A-4245-A662-CEE26BEF6D9B}"/>
                </c:ext>
              </c:extLst>
            </c:dLbl>
            <c:dLbl>
              <c:idx val="2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274320" anchor="ctr" anchorCtr="1"/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00618995831637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267A-4245-A662-CEE26BEF6D9B}"/>
                </c:ext>
              </c:extLst>
            </c:dLbl>
            <c:dLbl>
              <c:idx val="3"/>
              <c:spPr>
                <a:solidFill>
                  <a:srgbClr val="E1E5EB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91440" anchor="ctr" anchorCtr="0"/>
                <a:lstStyle/>
                <a:p>
                  <a:pPr algn="l"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646078407541093"/>
                      <c:h val="8.44611835557474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267A-4245-A662-CEE26BEF6D9B}"/>
                </c:ext>
              </c:extLst>
            </c:dLbl>
            <c:dLbl>
              <c:idx val="4"/>
              <c:spPr>
                <a:solidFill>
                  <a:srgbClr val="E1E5EB"/>
                </a:solidFill>
                <a:ln w="6350">
                  <a:noFill/>
                </a:ln>
                <a:effectLst/>
              </c:spPr>
              <c:txPr>
                <a:bodyPr rot="0" spcFirstLastPara="1" vertOverflow="overflow" horzOverflow="overflow" vert="horz" wrap="none" lIns="91440" anchor="ctr" anchorCtr="1"/>
                <a:lstStyle/>
                <a:p>
                  <a:pPr algn="l"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559322033898305"/>
                      <c:h val="0.121382562958073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267A-4245-A662-CEE26BEF6D9B}"/>
                </c:ext>
              </c:extLst>
            </c:dLbl>
            <c:spPr>
              <a:solidFill>
                <a:srgbClr val="E1E5EB"/>
              </a:solidFill>
              <a:ln>
                <a:noFill/>
              </a:ln>
              <a:effectLst/>
            </c:spPr>
            <c:txPr>
              <a:bodyPr rot="0" spcFirstLastPara="1" vertOverflow="overflow" horzOverflow="overflow" vert="horz" wrap="none" lIns="91440" anchor="ctr" anchorCtr="1"/>
              <a:lstStyle/>
              <a:p>
                <a:pPr>
                  <a:defRPr sz="9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WACC!$R$18:$U$18</c:f>
              <c:strCache>
                <c:ptCount val="3"/>
                <c:pt idx="0">
                  <c:v>Weighted cost</c:v>
                </c:pt>
                <c:pt idx="1">
                  <c:v>Cost of Capital</c:v>
                </c:pt>
                <c:pt idx="2">
                  <c:v>Pct of total</c:v>
                </c:pt>
              </c:strCache>
            </c:strRef>
          </c:cat>
          <c:val>
            <c:numRef>
              <c:f>WACC!$R$21:$U$21</c:f>
              <c:numCache>
                <c:formatCode>0.0%</c:formatCode>
                <c:ptCount val="4"/>
                <c:pt idx="0">
                  <c:v>2.3787067669172931E-2</c:v>
                </c:pt>
                <c:pt idx="1">
                  <c:v>6.2771428571428561E-2</c:v>
                </c:pt>
                <c:pt idx="2">
                  <c:v>0.37894736842105264</c:v>
                </c:pt>
                <c:pt idx="3" formatCode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7A-4245-A662-CEE26BEF6D9B}"/>
            </c:ext>
          </c:extLst>
        </c:ser>
        <c:ser>
          <c:idx val="0"/>
          <c:order val="3"/>
          <c:tx>
            <c:strRef>
              <c:f>WACC!$Q$22</c:f>
              <c:strCache>
                <c:ptCount val="1"/>
                <c:pt idx="0">
                  <c:v>Short-term debt</c:v>
                </c:pt>
              </c:strCache>
            </c:strRef>
          </c:tx>
          <c:spPr>
            <a:solidFill>
              <a:srgbClr val="F2F3F6"/>
            </a:solidFill>
            <a:ln w="3175">
              <a:solidFill>
                <a:schemeClr val="bg1">
                  <a:lumMod val="50000"/>
                </a:schemeClr>
              </a:solidFill>
              <a:prstDash val="solid"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7A-4245-A662-CEE26BEF6D9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7A-4245-A662-CEE26BEF6D9B}"/>
              </c:ext>
            </c:extLst>
          </c:dPt>
          <c:dLbls>
            <c:dLbl>
              <c:idx val="0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548640" anchor="ctr" anchorCtr="1">
                  <a:noAutofit/>
                </a:bodyPr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261522138575049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267A-4245-A662-CEE26BEF6D9B}"/>
                </c:ext>
              </c:extLst>
            </c:dLbl>
            <c:dLbl>
              <c:idx val="1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548640" anchor="ctr" anchorCtr="1">
                  <a:noAutofit/>
                </a:bodyPr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2615221385750495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267A-4245-A662-CEE26BEF6D9B}"/>
                </c:ext>
              </c:extLst>
            </c:dLbl>
            <c:dLbl>
              <c:idx val="2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0" rIns="548640" anchor="ctr" anchorCtr="1">
                  <a:noAutofit/>
                </a:bodyPr>
                <a:lstStyle/>
                <a:p>
                  <a:pPr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4168556631944502"/>
                      <c:h val="6.04316594308537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267A-4245-A662-CEE26BEF6D9B}"/>
                </c:ext>
              </c:extLst>
            </c:dLbl>
            <c:dLbl>
              <c:idx val="3"/>
              <c:spPr>
                <a:solidFill>
                  <a:srgbClr val="F2F3F6"/>
                </a:solidFill>
                <a:ln>
                  <a:noFill/>
                </a:ln>
                <a:effectLst/>
              </c:spPr>
              <c:txPr>
                <a:bodyPr rot="0" spcFirstLastPara="1" vertOverflow="overflow" horzOverflow="overflow" vert="horz" wrap="none" lIns="91440" anchor="ctr" anchorCtr="0">
                  <a:noAutofit/>
                </a:bodyPr>
                <a:lstStyle/>
                <a:p>
                  <a:pPr algn="l"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3646078407541093"/>
                      <c:h val="8.75183047635455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267A-4245-A662-CEE26BEF6D9B}"/>
                </c:ext>
              </c:extLst>
            </c:dLbl>
            <c:dLbl>
              <c:idx val="4"/>
              <c:spPr>
                <a:solidFill>
                  <a:srgbClr val="F2F3F6"/>
                </a:solidFill>
                <a:ln w="6350">
                  <a:noFill/>
                </a:ln>
                <a:effectLst/>
              </c:spPr>
              <c:txPr>
                <a:bodyPr rot="0" spcFirstLastPara="1" vertOverflow="overflow" horzOverflow="overflow" vert="horz" wrap="none" anchor="ctr" anchorCtr="0">
                  <a:spAutoFit/>
                </a:bodyPr>
                <a:lstStyle/>
                <a:p>
                  <a:pPr algn="l">
                    <a:defRPr sz="95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Segoe UI Semibold" panose="020B0702040204020203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559322033898305"/>
                      <c:h val="0.121382562958073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267A-4245-A662-CEE26BEF6D9B}"/>
                </c:ext>
              </c:extLst>
            </c:dLbl>
            <c:spPr>
              <a:solidFill>
                <a:srgbClr val="F2F3F6"/>
              </a:solidFill>
              <a:ln>
                <a:noFill/>
              </a:ln>
              <a:effectLst/>
            </c:spPr>
            <c:txPr>
              <a:bodyPr rot="0" spcFirstLastPara="1" vertOverflow="overflow" horzOverflow="overflow" vert="horz" wrap="none" anchor="ctr" anchorCtr="1"/>
              <a:lstStyle/>
              <a:p>
                <a:pPr>
                  <a:defRPr sz="9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Segoe UI Semibold" panose="020B07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WACC!$R$18:$U$18</c:f>
              <c:strCache>
                <c:ptCount val="3"/>
                <c:pt idx="0">
                  <c:v>Weighted cost</c:v>
                </c:pt>
                <c:pt idx="1">
                  <c:v>Cost of Capital</c:v>
                </c:pt>
                <c:pt idx="2">
                  <c:v>Pct of total</c:v>
                </c:pt>
              </c:strCache>
            </c:strRef>
          </c:cat>
          <c:val>
            <c:numRef>
              <c:f>WACC!$R$22:$U$22</c:f>
              <c:numCache>
                <c:formatCode>0.0%</c:formatCode>
                <c:ptCount val="4"/>
                <c:pt idx="0">
                  <c:v>8.5485714285714279E-3</c:v>
                </c:pt>
                <c:pt idx="1">
                  <c:v>4.7771428571428569E-2</c:v>
                </c:pt>
                <c:pt idx="2">
                  <c:v>0.17894736842105263</c:v>
                </c:pt>
                <c:pt idx="3" formatCode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67A-4245-A662-CEE26BEF6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63418831"/>
        <c:axId val="363416911"/>
      </c:barChart>
      <c:catAx>
        <c:axId val="36341883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3175">
            <a:solidFill>
              <a:schemeClr val="tx1"/>
            </a:solidFill>
            <a:prstDash val="sysDot"/>
          </a:ln>
        </c:spPr>
        <c:txPr>
          <a:bodyPr/>
          <a:lstStyle/>
          <a:p>
            <a:pPr>
              <a:defRPr sz="1000" b="0" i="0">
                <a:solidFill>
                  <a:sysClr val="windowText" lastClr="000000"/>
                </a:solidFill>
              </a:defRPr>
            </a:pPr>
            <a:endParaRPr lang="en-US"/>
          </a:p>
        </c:txPr>
        <c:crossAx val="363416911"/>
        <c:crosses val="autoZero"/>
        <c:auto val="1"/>
        <c:lblAlgn val="ctr"/>
        <c:lblOffset val="0"/>
        <c:noMultiLvlLbl val="0"/>
      </c:catAx>
      <c:valAx>
        <c:axId val="363416911"/>
        <c:scaling>
          <c:orientation val="minMax"/>
        </c:scaling>
        <c:delete val="1"/>
        <c:axPos val="r"/>
        <c:numFmt formatCode="0%" sourceLinked="1"/>
        <c:majorTickMark val="none"/>
        <c:minorTickMark val="none"/>
        <c:tickLblPos val="nextTo"/>
        <c:crossAx val="363418831"/>
        <c:crosses val="autoZero"/>
        <c:crossBetween val="between"/>
      </c:valAx>
      <c:spPr>
        <a:noFill/>
        <a:ln w="3175">
          <a:solidFill>
            <a:schemeClr val="tx1"/>
          </a:solidFill>
          <a:prstDash val="sysDot"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0" cap="flat" cmpd="sng" algn="ctr">
      <a:noFill/>
      <a:round/>
    </a:ln>
    <a:effectLst/>
  </c:spPr>
  <c:txPr>
    <a:bodyPr/>
    <a:lstStyle/>
    <a:p>
      <a:pPr>
        <a:defRPr sz="950">
          <a:solidFill>
            <a:sysClr val="windowText" lastClr="000000"/>
          </a:solidFill>
          <a:latin typeface="+mn-lt"/>
          <a:cs typeface="Segoe UI Semibold" panose="020B0702040204020203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82500289474699"/>
          <c:y val="0.15180039667816392"/>
          <c:w val="0.57465786602970403"/>
          <c:h val="0.71018833402939363"/>
        </c:manualLayout>
      </c:layout>
      <c:scatterChart>
        <c:scatterStyle val="lineMarker"/>
        <c:varyColors val="0"/>
        <c:ser>
          <c:idx val="0"/>
          <c:order val="0"/>
          <c:tx>
            <c:strRef>
              <c:f>Bonds!$R$20</c:f>
              <c:strCache>
                <c:ptCount val="1"/>
                <c:pt idx="0">
                  <c:v>Current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rgbClr val="00B050"/>
              </a:solidFill>
              <a:ln w="3175">
                <a:noFill/>
              </a:ln>
              <a:effectLst/>
            </c:spPr>
          </c:marker>
          <c:dPt>
            <c:idx val="4"/>
            <c:marker>
              <c:symbol val="circle"/>
              <c:size val="4"/>
              <c:spPr>
                <a:solidFill>
                  <a:srgbClr val="00B050"/>
                </a:solidFill>
                <a:ln w="317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E1F-4ABC-BBE5-1357C69136CF}"/>
              </c:ext>
            </c:extLst>
          </c:dPt>
          <c:dPt>
            <c:idx val="9"/>
            <c:marker>
              <c:symbol val="circle"/>
              <c:size val="4"/>
              <c:spPr>
                <a:solidFill>
                  <a:srgbClr val="00B050"/>
                </a:solidFill>
                <a:ln w="317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3E1F-4ABC-BBE5-1357C69136CF}"/>
              </c:ext>
            </c:extLst>
          </c:dPt>
          <c:xVal>
            <c:numRef>
              <c:f>Bonds!$P$22:$P$28</c:f>
              <c:numCache>
                <c:formatCode>#,##0;[Red]#,##0</c:formatCode>
                <c:ptCount val="7"/>
                <c:pt idx="0">
                  <c:v>1174.9999262969509</c:v>
                </c:pt>
                <c:pt idx="1">
                  <c:v>1149.9999262969509</c:v>
                </c:pt>
                <c:pt idx="2">
                  <c:v>1124.9999262969509</c:v>
                </c:pt>
                <c:pt idx="3">
                  <c:v>1099.9999262969509</c:v>
                </c:pt>
                <c:pt idx="4">
                  <c:v>1074.9999262969509</c:v>
                </c:pt>
                <c:pt idx="5">
                  <c:v>1049.9999262969509</c:v>
                </c:pt>
                <c:pt idx="6">
                  <c:v>1024.9999262969509</c:v>
                </c:pt>
              </c:numCache>
            </c:numRef>
          </c:xVal>
          <c:yVal>
            <c:numRef>
              <c:f>Bonds!$T$22:$T$28</c:f>
              <c:numCache>
                <c:formatCode>0.0%</c:formatCode>
                <c:ptCount val="7"/>
                <c:pt idx="0">
                  <c:v>5.9574471821974659E-2</c:v>
                </c:pt>
                <c:pt idx="1">
                  <c:v>6.0869569118498126E-2</c:v>
                </c:pt>
                <c:pt idx="2">
                  <c:v>6.2222226298638043E-2</c:v>
                </c:pt>
                <c:pt idx="3">
                  <c:v>6.3636367900176682E-2</c:v>
                </c:pt>
                <c:pt idx="4">
                  <c:v>6.5116283534203387E-2</c:v>
                </c:pt>
                <c:pt idx="5">
                  <c:v>6.666667134622567E-2</c:v>
                </c:pt>
                <c:pt idx="6">
                  <c:v>6.8292687837443244E-2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E1F-4ABC-BBE5-1357C69136CF}"/>
            </c:ext>
          </c:extLst>
        </c:ser>
        <c:ser>
          <c:idx val="2"/>
          <c:order val="1"/>
          <c:tx>
            <c:strRef>
              <c:f>Bonds!$AA$20</c:f>
              <c:strCache>
                <c:ptCount val="1"/>
                <c:pt idx="0">
                  <c:v>YTM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rgbClr val="006800"/>
              </a:solidFill>
              <a:ln w="9525">
                <a:noFill/>
              </a:ln>
              <a:effectLst/>
            </c:spPr>
          </c:marker>
          <c:xVal>
            <c:numRef>
              <c:f>Bonds!$P$22:$P$28</c:f>
              <c:numCache>
                <c:formatCode>#,##0;[Red]#,##0</c:formatCode>
                <c:ptCount val="7"/>
                <c:pt idx="0">
                  <c:v>1174.9999262969509</c:v>
                </c:pt>
                <c:pt idx="1">
                  <c:v>1149.9999262969509</c:v>
                </c:pt>
                <c:pt idx="2">
                  <c:v>1124.9999262969509</c:v>
                </c:pt>
                <c:pt idx="3">
                  <c:v>1099.9999262969509</c:v>
                </c:pt>
                <c:pt idx="4">
                  <c:v>1074.9999262969509</c:v>
                </c:pt>
                <c:pt idx="5">
                  <c:v>1049.9999262969509</c:v>
                </c:pt>
                <c:pt idx="6">
                  <c:v>1024.9999262969509</c:v>
                </c:pt>
              </c:numCache>
            </c:numRef>
          </c:xVal>
          <c:yVal>
            <c:numRef>
              <c:f>Bonds!$AA$22:$AA$28</c:f>
              <c:numCache>
                <c:formatCode>0.0%</c:formatCode>
                <c:ptCount val="7"/>
                <c:pt idx="0">
                  <c:v>4.5833951861643331E-2</c:v>
                </c:pt>
                <c:pt idx="1">
                  <c:v>4.7066201887737656E-2</c:v>
                </c:pt>
                <c:pt idx="2">
                  <c:v>4.8513745977354542E-2</c:v>
                </c:pt>
                <c:pt idx="3">
                  <c:v>5.0280585550575504E-2</c:v>
                </c:pt>
                <c:pt idx="4">
                  <c:v>5.255440549596159E-2</c:v>
                </c:pt>
                <c:pt idx="5">
                  <c:v>5.5711870074483916E-2</c:v>
                </c:pt>
                <c:pt idx="6">
                  <c:v>6.0636270129327437E-2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3B6-4BF6-81D7-17420B6397E5}"/>
            </c:ext>
          </c:extLst>
        </c:ser>
        <c:ser>
          <c:idx val="1"/>
          <c:order val="2"/>
          <c:tx>
            <c:strRef>
              <c:f>Bonds!$V$20</c:f>
              <c:strCache>
                <c:ptCount val="1"/>
                <c:pt idx="0">
                  <c:v>Realized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xVal>
            <c:numRef>
              <c:f>Bonds!$P$22:$P$28</c:f>
              <c:numCache>
                <c:formatCode>#,##0;[Red]#,##0</c:formatCode>
                <c:ptCount val="7"/>
                <c:pt idx="0">
                  <c:v>1174.9999262969509</c:v>
                </c:pt>
                <c:pt idx="1">
                  <c:v>1149.9999262969509</c:v>
                </c:pt>
                <c:pt idx="2">
                  <c:v>1124.9999262969509</c:v>
                </c:pt>
                <c:pt idx="3">
                  <c:v>1099.9999262969509</c:v>
                </c:pt>
                <c:pt idx="4">
                  <c:v>1074.9999262969509</c:v>
                </c:pt>
                <c:pt idx="5">
                  <c:v>1049.9999262969509</c:v>
                </c:pt>
                <c:pt idx="6">
                  <c:v>1024.9999262969509</c:v>
                </c:pt>
              </c:numCache>
            </c:numRef>
          </c:xVal>
          <c:yVal>
            <c:numRef>
              <c:f>Bonds!$Y$22:$Y$28</c:f>
              <c:numCache>
                <c:formatCode>0.0%</c:formatCode>
                <c:ptCount val="7"/>
                <c:pt idx="0">
                  <c:v>3.7500002303220425E-2</c:v>
                </c:pt>
                <c:pt idx="1">
                  <c:v>3.8297874742697996E-2</c:v>
                </c:pt>
                <c:pt idx="2">
                  <c:v>3.9130437290463081E-2</c:v>
                </c:pt>
                <c:pt idx="3">
                  <c:v>4.0000002620553032E-2</c:v>
                </c:pt>
                <c:pt idx="4">
                  <c:v>4.0909093650113582E-2</c:v>
                </c:pt>
                <c:pt idx="5">
                  <c:v>4.186046798627361E-2</c:v>
                </c:pt>
                <c:pt idx="6">
                  <c:v>4.2857145865430789E-2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3B6-4BF6-81D7-17420B639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917120"/>
        <c:axId val="584917600"/>
      </c:scatterChart>
      <c:valAx>
        <c:axId val="584917120"/>
        <c:scaling>
          <c:orientation val="minMax"/>
          <c:max val="12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917600"/>
        <c:crosses val="autoZero"/>
        <c:crossBetween val="midCat"/>
        <c:majorUnit val="100"/>
      </c:valAx>
      <c:valAx>
        <c:axId val="584917600"/>
        <c:scaling>
          <c:orientation val="minMax"/>
          <c:max val="7.5000000000000011E-2"/>
          <c:min val="3.5000000000000003E-2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917120"/>
        <c:crosses val="autoZero"/>
        <c:crossBetween val="midCat"/>
        <c:majorUnit val="2.0000000000000004E-2"/>
      </c:valAx>
      <c:spPr>
        <a:solidFill>
          <a:schemeClr val="bg1"/>
        </a:solidFill>
        <a:ln>
          <a:solidFill>
            <a:srgbClr val="D9D9D9"/>
          </a:solidFill>
        </a:ln>
        <a:effectLst/>
      </c:spPr>
    </c:plotArea>
    <c:legend>
      <c:legendPos val="r"/>
      <c:layout>
        <c:manualLayout>
          <c:xMode val="edge"/>
          <c:yMode val="edge"/>
          <c:x val="0.72656546667793798"/>
          <c:y val="0.15839207229935709"/>
          <c:w val="0.27343453332206208"/>
          <c:h val="0.275193758502700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5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chart" Target="../charts/chart1.xml"/><Relationship Id="rId5" Type="http://schemas.openxmlformats.org/officeDocument/2006/relationships/image" Target="../media/image4.emf"/><Relationship Id="rId4" Type="http://schemas.openxmlformats.org/officeDocument/2006/relationships/hyperlink" Target="https://excelmodels.com/checkout/?add-to-cart=%207463%20&amp;coupon=SAVE20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https://excelmodels.com/checkout/?add-to-cart=%207463%20&amp;coupon=SAVE20" TargetMode="Externa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hyperlink" Target="https://excelmodels.com/checkout/?add-to-cart=%207463%20&amp;coupon=SAVE20" TargetMode="External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13</xdr:row>
      <xdr:rowOff>0</xdr:rowOff>
    </xdr:from>
    <xdr:to>
      <xdr:col>4</xdr:col>
      <xdr:colOff>799578</xdr:colOff>
      <xdr:row>16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87AED2-BFB2-40AF-A0C4-47751C3E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162300"/>
          <a:ext cx="2529318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2</xdr:row>
      <xdr:rowOff>160020</xdr:rowOff>
    </xdr:from>
    <xdr:to>
      <xdr:col>7</xdr:col>
      <xdr:colOff>291548</xdr:colOff>
      <xdr:row>6</xdr:row>
      <xdr:rowOff>331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4D23AA-5401-4599-BD87-CB5AFBA5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563880"/>
          <a:ext cx="5328368" cy="708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121920</xdr:colOff>
      <xdr:row>8</xdr:row>
      <xdr:rowOff>38100</xdr:rowOff>
    </xdr:from>
    <xdr:to>
      <xdr:col>15</xdr:col>
      <xdr:colOff>1234440</xdr:colOff>
      <xdr:row>23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D8734418-4771-4214-BF3E-339CC44BB7F8}"/>
            </a:ext>
          </a:extLst>
        </xdr:cNvPr>
        <xdr:cNvSpPr/>
      </xdr:nvSpPr>
      <xdr:spPr>
        <a:xfrm>
          <a:off x="6797040" y="1630680"/>
          <a:ext cx="3101340" cy="27051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190500</xdr:colOff>
      <xdr:row>8</xdr:row>
      <xdr:rowOff>7620</xdr:rowOff>
    </xdr:from>
    <xdr:to>
      <xdr:col>9</xdr:col>
      <xdr:colOff>457200</xdr:colOff>
      <xdr:row>26</xdr:row>
      <xdr:rowOff>76200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489DCB6-D01E-8E06-7467-7EDB9E7442BB}"/>
            </a:ext>
          </a:extLst>
        </xdr:cNvPr>
        <xdr:cNvSpPr/>
      </xdr:nvSpPr>
      <xdr:spPr>
        <a:xfrm>
          <a:off x="3573780" y="1600200"/>
          <a:ext cx="1996440" cy="32232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106680</xdr:colOff>
      <xdr:row>8</xdr:row>
      <xdr:rowOff>22860</xdr:rowOff>
    </xdr:from>
    <xdr:to>
      <xdr:col>4</xdr:col>
      <xdr:colOff>388620</xdr:colOff>
      <xdr:row>20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BCED356-75CA-4F58-B908-CF9CA02342EB}"/>
            </a:ext>
          </a:extLst>
        </xdr:cNvPr>
        <xdr:cNvSpPr/>
      </xdr:nvSpPr>
      <xdr:spPr>
        <a:xfrm>
          <a:off x="701040" y="1615440"/>
          <a:ext cx="1760220" cy="21945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83820</xdr:colOff>
      <xdr:row>1</xdr:row>
      <xdr:rowOff>99060</xdr:rowOff>
    </xdr:from>
    <xdr:to>
      <xdr:col>8</xdr:col>
      <xdr:colOff>403860</xdr:colOff>
      <xdr:row>2</xdr:row>
      <xdr:rowOff>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56BF7A-D9A8-47D4-BF35-5A473387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212046</xdr:colOff>
      <xdr:row>18</xdr:row>
      <xdr:rowOff>17145</xdr:rowOff>
    </xdr:from>
    <xdr:ext cx="1463040" cy="0"/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C92DDB5-7E11-4F1C-B9C1-304EA7ACB1C6}"/>
            </a:ext>
          </a:extLst>
        </xdr:cNvPr>
        <xdr:cNvCxnSpPr/>
      </xdr:nvCxnSpPr>
      <xdr:spPr>
        <a:xfrm>
          <a:off x="1705566" y="3629025"/>
          <a:ext cx="1463040" cy="0"/>
        </a:xfrm>
        <a:prstGeom prst="straightConnector1">
          <a:avLst/>
        </a:prstGeom>
        <a:ln w="12700">
          <a:solidFill>
            <a:schemeClr val="tx1"/>
          </a:solidFill>
          <a:prstDash val="sysDot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5</xdr:col>
      <xdr:colOff>48324</xdr:colOff>
      <xdr:row>11</xdr:row>
      <xdr:rowOff>160409</xdr:rowOff>
    </xdr:from>
    <xdr:ext cx="274320" cy="0"/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5D1027EC-9BD2-155B-47C0-16F704F3E228}"/>
            </a:ext>
          </a:extLst>
        </xdr:cNvPr>
        <xdr:cNvCxnSpPr/>
      </xdr:nvCxnSpPr>
      <xdr:spPr>
        <a:xfrm flipH="1">
          <a:off x="3446844" y="2217809"/>
          <a:ext cx="274320" cy="0"/>
        </a:xfrm>
        <a:prstGeom prst="straightConnector1">
          <a:avLst/>
        </a:prstGeom>
        <a:ln w="12700">
          <a:solidFill>
            <a:schemeClr val="tx1"/>
          </a:solidFill>
          <a:prstDash val="sysDot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278130</xdr:colOff>
      <xdr:row>18</xdr:row>
      <xdr:rowOff>17145</xdr:rowOff>
    </xdr:from>
    <xdr:ext cx="2377440" cy="0"/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51044507-1D7D-3E23-D6AD-FD2E7B0F8F75}"/>
            </a:ext>
          </a:extLst>
        </xdr:cNvPr>
        <xdr:cNvCxnSpPr/>
      </xdr:nvCxnSpPr>
      <xdr:spPr>
        <a:xfrm>
          <a:off x="4050030" y="3629025"/>
          <a:ext cx="2377440" cy="0"/>
        </a:xfrm>
        <a:prstGeom prst="straightConnector1">
          <a:avLst/>
        </a:prstGeom>
        <a:ln w="12700">
          <a:solidFill>
            <a:schemeClr val="tx1"/>
          </a:solidFill>
          <a:prstDash val="sysDot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3</xdr:col>
      <xdr:colOff>212046</xdr:colOff>
      <xdr:row>21</xdr:row>
      <xdr:rowOff>15828</xdr:rowOff>
    </xdr:from>
    <xdr:ext cx="1463040" cy="0"/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D08B4E3-54B0-4EB3-3E3C-F273C101E297}"/>
            </a:ext>
          </a:extLst>
        </xdr:cNvPr>
        <xdr:cNvCxnSpPr/>
      </xdr:nvCxnSpPr>
      <xdr:spPr>
        <a:xfrm flipH="1">
          <a:off x="1706309" y="4398257"/>
          <a:ext cx="1463040" cy="0"/>
        </a:xfrm>
        <a:prstGeom prst="straightConnector1">
          <a:avLst/>
        </a:prstGeom>
        <a:ln w="12700">
          <a:solidFill>
            <a:schemeClr val="tx1"/>
          </a:solidFill>
          <a:prstDash val="sysDot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oneCellAnchor>
    <xdr:from>
      <xdr:col>6</xdr:col>
      <xdr:colOff>278130</xdr:colOff>
      <xdr:row>21</xdr:row>
      <xdr:rowOff>15828</xdr:rowOff>
    </xdr:from>
    <xdr:ext cx="2377440" cy="0"/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3FB61E9-9437-44B2-9F4E-562133FEB475}"/>
            </a:ext>
          </a:extLst>
        </xdr:cNvPr>
        <xdr:cNvCxnSpPr/>
      </xdr:nvCxnSpPr>
      <xdr:spPr>
        <a:xfrm flipH="1">
          <a:off x="4047242" y="4398257"/>
          <a:ext cx="2377440" cy="0"/>
        </a:xfrm>
        <a:prstGeom prst="straightConnector1">
          <a:avLst/>
        </a:prstGeom>
        <a:ln w="12700">
          <a:solidFill>
            <a:schemeClr val="tx1"/>
          </a:solidFill>
          <a:prstDash val="sysDot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oneCellAnchor>
  <xdr:twoCellAnchor>
    <xdr:from>
      <xdr:col>3</xdr:col>
      <xdr:colOff>152400</xdr:colOff>
      <xdr:row>10</xdr:row>
      <xdr:rowOff>198120</xdr:rowOff>
    </xdr:from>
    <xdr:to>
      <xdr:col>4</xdr:col>
      <xdr:colOff>845820</xdr:colOff>
      <xdr:row>21</xdr:row>
      <xdr:rowOff>251460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B849ABE-B0D7-443D-A0D7-66BB952AD3B1}"/>
            </a:ext>
          </a:extLst>
        </xdr:cNvPr>
        <xdr:cNvSpPr/>
      </xdr:nvSpPr>
      <xdr:spPr>
        <a:xfrm>
          <a:off x="1569720" y="2148840"/>
          <a:ext cx="1645920" cy="26136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45720</xdr:colOff>
      <xdr:row>10</xdr:row>
      <xdr:rowOff>213360</xdr:rowOff>
    </xdr:from>
    <xdr:to>
      <xdr:col>9</xdr:col>
      <xdr:colOff>914400</xdr:colOff>
      <xdr:row>21</xdr:row>
      <xdr:rowOff>274320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6F459BA-79BB-9DA4-9308-3780BC530C8E}"/>
            </a:ext>
          </a:extLst>
        </xdr:cNvPr>
        <xdr:cNvSpPr/>
      </xdr:nvSpPr>
      <xdr:spPr>
        <a:xfrm>
          <a:off x="3741420" y="2164080"/>
          <a:ext cx="2849880" cy="26212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929640</xdr:colOff>
      <xdr:row>1</xdr:row>
      <xdr:rowOff>99060</xdr:rowOff>
    </xdr:from>
    <xdr:to>
      <xdr:col>7</xdr:col>
      <xdr:colOff>182880</xdr:colOff>
      <xdr:row>2</xdr:row>
      <xdr:rowOff>0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D4C26D-614A-49BC-9DF5-5FD8D71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144780</xdr:colOff>
      <xdr:row>9</xdr:row>
      <xdr:rowOff>160020</xdr:rowOff>
    </xdr:from>
    <xdr:to>
      <xdr:col>6</xdr:col>
      <xdr:colOff>624840</xdr:colOff>
      <xdr:row>22</xdr:row>
      <xdr:rowOff>144780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11E3A21-334E-E66D-8FAF-182F1D3DA08C}"/>
            </a:ext>
          </a:extLst>
        </xdr:cNvPr>
        <xdr:cNvSpPr/>
      </xdr:nvSpPr>
      <xdr:spPr>
        <a:xfrm>
          <a:off x="739140" y="1836420"/>
          <a:ext cx="2979420" cy="22631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129540</xdr:colOff>
      <xdr:row>9</xdr:row>
      <xdr:rowOff>137160</xdr:rowOff>
    </xdr:from>
    <xdr:to>
      <xdr:col>12</xdr:col>
      <xdr:colOff>579120</xdr:colOff>
      <xdr:row>26</xdr:row>
      <xdr:rowOff>83820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9728D25-47CA-F6F8-EAF0-C9A34A627536}"/>
            </a:ext>
          </a:extLst>
        </xdr:cNvPr>
        <xdr:cNvSpPr/>
      </xdr:nvSpPr>
      <xdr:spPr>
        <a:xfrm>
          <a:off x="4267200" y="1813560"/>
          <a:ext cx="3147060" cy="29260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205740</xdr:colOff>
      <xdr:row>9</xdr:row>
      <xdr:rowOff>114300</xdr:rowOff>
    </xdr:from>
    <xdr:to>
      <xdr:col>17</xdr:col>
      <xdr:colOff>411480</xdr:colOff>
      <xdr:row>25</xdr:row>
      <xdr:rowOff>106680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3E5F3D7-DAB8-7BBD-B9D2-FDC3A5879C47}"/>
            </a:ext>
          </a:extLst>
        </xdr:cNvPr>
        <xdr:cNvSpPr/>
      </xdr:nvSpPr>
      <xdr:spPr>
        <a:xfrm>
          <a:off x="8092440" y="1790700"/>
          <a:ext cx="2491740" cy="27965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464820</xdr:colOff>
      <xdr:row>1</xdr:row>
      <xdr:rowOff>99060</xdr:rowOff>
    </xdr:from>
    <xdr:to>
      <xdr:col>8</xdr:col>
      <xdr:colOff>952500</xdr:colOff>
      <xdr:row>2</xdr:row>
      <xdr:rowOff>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EE979-0087-44FC-8FB8-499B09C3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82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</xdr:colOff>
      <xdr:row>10</xdr:row>
      <xdr:rowOff>91440</xdr:rowOff>
    </xdr:from>
    <xdr:to>
      <xdr:col>12</xdr:col>
      <xdr:colOff>365760</xdr:colOff>
      <xdr:row>24</xdr:row>
      <xdr:rowOff>144780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D33B8C-5B01-458E-9D3F-07378CAB665C}"/>
            </a:ext>
          </a:extLst>
        </xdr:cNvPr>
        <xdr:cNvSpPr/>
      </xdr:nvSpPr>
      <xdr:spPr>
        <a:xfrm>
          <a:off x="2301240" y="1905000"/>
          <a:ext cx="2362200" cy="25146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106680</xdr:colOff>
      <xdr:row>10</xdr:row>
      <xdr:rowOff>53340</xdr:rowOff>
    </xdr:from>
    <xdr:to>
      <xdr:col>18</xdr:col>
      <xdr:colOff>320040</xdr:colOff>
      <xdr:row>24</xdr:row>
      <xdr:rowOff>129540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4AD680C-7F07-E49D-7105-0F43B7F5DA14}"/>
            </a:ext>
          </a:extLst>
        </xdr:cNvPr>
        <xdr:cNvSpPr/>
      </xdr:nvSpPr>
      <xdr:spPr>
        <a:xfrm>
          <a:off x="4945380" y="1866900"/>
          <a:ext cx="2476500" cy="25374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30480</xdr:colOff>
      <xdr:row>10</xdr:row>
      <xdr:rowOff>53340</xdr:rowOff>
    </xdr:from>
    <xdr:to>
      <xdr:col>21</xdr:col>
      <xdr:colOff>297180</xdr:colOff>
      <xdr:row>24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0CA7531-CBC4-4654-A190-A332E41311EC}"/>
            </a:ext>
          </a:extLst>
        </xdr:cNvPr>
        <xdr:cNvSpPr/>
      </xdr:nvSpPr>
      <xdr:spPr>
        <a:xfrm>
          <a:off x="7612380" y="1866900"/>
          <a:ext cx="1836420" cy="25222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</xdr:col>
      <xdr:colOff>60960</xdr:colOff>
      <xdr:row>1</xdr:row>
      <xdr:rowOff>99060</xdr:rowOff>
    </xdr:from>
    <xdr:to>
      <xdr:col>10</xdr:col>
      <xdr:colOff>281940</xdr:colOff>
      <xdr:row>2</xdr:row>
      <xdr:rowOff>0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F4815-1638-4F3A-94B8-F3572980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66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281940</xdr:colOff>
      <xdr:row>11</xdr:row>
      <xdr:rowOff>53340</xdr:rowOff>
    </xdr:from>
    <xdr:to>
      <xdr:col>16</xdr:col>
      <xdr:colOff>243840</xdr:colOff>
      <xdr:row>24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806AA44-6A35-4BA3-9ED6-9E5173A7F42D}"/>
            </a:ext>
          </a:extLst>
        </xdr:cNvPr>
        <xdr:cNvSpPr/>
      </xdr:nvSpPr>
      <xdr:spPr>
        <a:xfrm>
          <a:off x="5356860" y="2042160"/>
          <a:ext cx="1417320" cy="23774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114300</xdr:colOff>
      <xdr:row>10</xdr:row>
      <xdr:rowOff>76200</xdr:rowOff>
    </xdr:from>
    <xdr:to>
      <xdr:col>12</xdr:col>
      <xdr:colOff>365760</xdr:colOff>
      <xdr:row>26</xdr:row>
      <xdr:rowOff>137160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E6A6DF4-F4F4-3700-B063-335647AEE660}"/>
            </a:ext>
          </a:extLst>
        </xdr:cNvPr>
        <xdr:cNvSpPr/>
      </xdr:nvSpPr>
      <xdr:spPr>
        <a:xfrm>
          <a:off x="2423160" y="1889760"/>
          <a:ext cx="2438400" cy="28651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3</xdr:col>
      <xdr:colOff>60960</xdr:colOff>
      <xdr:row>1</xdr:row>
      <xdr:rowOff>99060</xdr:rowOff>
    </xdr:from>
    <xdr:to>
      <xdr:col>10</xdr:col>
      <xdr:colOff>274320</xdr:colOff>
      <xdr:row>2</xdr:row>
      <xdr:rowOff>0</xdr:rowOff>
    </xdr:to>
    <xdr:pic>
      <xdr:nvPicPr>
        <xdr:cNvPr id="6" name="Pictur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2BC61F-35F0-4922-A5F5-24FB19A0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66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10</xdr:row>
      <xdr:rowOff>121920</xdr:rowOff>
    </xdr:from>
    <xdr:to>
      <xdr:col>7</xdr:col>
      <xdr:colOff>236220</xdr:colOff>
      <xdr:row>24</xdr:row>
      <xdr:rowOff>76200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37BE731-502C-4B9F-9862-0D8870682026}"/>
            </a:ext>
          </a:extLst>
        </xdr:cNvPr>
        <xdr:cNvSpPr/>
      </xdr:nvSpPr>
      <xdr:spPr>
        <a:xfrm>
          <a:off x="2430780" y="1927860"/>
          <a:ext cx="2072640" cy="24079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106680</xdr:colOff>
      <xdr:row>10</xdr:row>
      <xdr:rowOff>83820</xdr:rowOff>
    </xdr:from>
    <xdr:to>
      <xdr:col>12</xdr:col>
      <xdr:colOff>320040</xdr:colOff>
      <xdr:row>24</xdr:row>
      <xdr:rowOff>68580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B7FF3D2-4A5B-83B4-8F60-6340E9BD86F2}"/>
            </a:ext>
          </a:extLst>
        </xdr:cNvPr>
        <xdr:cNvSpPr/>
      </xdr:nvSpPr>
      <xdr:spPr>
        <a:xfrm>
          <a:off x="4930140" y="1889760"/>
          <a:ext cx="1432560" cy="24384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60960</xdr:colOff>
      <xdr:row>1</xdr:row>
      <xdr:rowOff>99060</xdr:rowOff>
    </xdr:from>
    <xdr:to>
      <xdr:col>9</xdr:col>
      <xdr:colOff>45720</xdr:colOff>
      <xdr:row>2</xdr:row>
      <xdr:rowOff>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E6B777-419D-4999-8F85-C0A66BC5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66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53340</xdr:colOff>
      <xdr:row>11</xdr:row>
      <xdr:rowOff>68580</xdr:rowOff>
    </xdr:from>
    <xdr:to>
      <xdr:col>17</xdr:col>
      <xdr:colOff>312420</xdr:colOff>
      <xdr:row>19</xdr:row>
      <xdr:rowOff>114300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DB4DA9D-9C46-44A4-975D-6182E7EF08AB}"/>
            </a:ext>
          </a:extLst>
        </xdr:cNvPr>
        <xdr:cNvSpPr/>
      </xdr:nvSpPr>
      <xdr:spPr>
        <a:xfrm>
          <a:off x="5806440" y="2004060"/>
          <a:ext cx="1805940" cy="14478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152400</xdr:colOff>
      <xdr:row>11</xdr:row>
      <xdr:rowOff>106680</xdr:rowOff>
    </xdr:from>
    <xdr:to>
      <xdr:col>12</xdr:col>
      <xdr:colOff>228600</xdr:colOff>
      <xdr:row>21</xdr:row>
      <xdr:rowOff>22860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CC76111-7857-27F8-EDBC-0D23A27BDF6B}"/>
            </a:ext>
          </a:extLst>
        </xdr:cNvPr>
        <xdr:cNvSpPr/>
      </xdr:nvSpPr>
      <xdr:spPr>
        <a:xfrm>
          <a:off x="3589020" y="2042160"/>
          <a:ext cx="1623060" cy="16687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11</xdr:row>
      <xdr:rowOff>106680</xdr:rowOff>
    </xdr:from>
    <xdr:to>
      <xdr:col>7</xdr:col>
      <xdr:colOff>251460</xdr:colOff>
      <xdr:row>21</xdr:row>
      <xdr:rowOff>30480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C1653A99-8BA7-30E7-BE8E-547AEDA96478}"/>
            </a:ext>
          </a:extLst>
        </xdr:cNvPr>
        <xdr:cNvSpPr/>
      </xdr:nvSpPr>
      <xdr:spPr>
        <a:xfrm>
          <a:off x="1272540" y="2042160"/>
          <a:ext cx="1645920" cy="16764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129540</xdr:colOff>
      <xdr:row>23</xdr:row>
      <xdr:rowOff>83820</xdr:rowOff>
    </xdr:from>
    <xdr:to>
      <xdr:col>7</xdr:col>
      <xdr:colOff>274320</xdr:colOff>
      <xdr:row>31</xdr:row>
      <xdr:rowOff>15240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8AA5824-425A-F035-DD37-9EA055E3B422}"/>
            </a:ext>
          </a:extLst>
        </xdr:cNvPr>
        <xdr:cNvSpPr/>
      </xdr:nvSpPr>
      <xdr:spPr>
        <a:xfrm>
          <a:off x="1249680" y="4038600"/>
          <a:ext cx="1691640" cy="9982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228600</xdr:colOff>
      <xdr:row>23</xdr:row>
      <xdr:rowOff>68580</xdr:rowOff>
    </xdr:from>
    <xdr:to>
      <xdr:col>12</xdr:col>
      <xdr:colOff>251460</xdr:colOff>
      <xdr:row>31</xdr:row>
      <xdr:rowOff>99060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7590CC2-8DFA-6EA5-5E0E-C81E968E059E}"/>
            </a:ext>
          </a:extLst>
        </xdr:cNvPr>
        <xdr:cNvSpPr/>
      </xdr:nvSpPr>
      <xdr:spPr>
        <a:xfrm>
          <a:off x="3665220" y="4023360"/>
          <a:ext cx="1569720" cy="10972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281940</xdr:colOff>
      <xdr:row>25</xdr:row>
      <xdr:rowOff>7620</xdr:rowOff>
    </xdr:from>
    <xdr:to>
      <xdr:col>17</xdr:col>
      <xdr:colOff>266700</xdr:colOff>
      <xdr:row>31</xdr:row>
      <xdr:rowOff>22860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1EFE46F0-BF7C-F901-94EA-4AB619EBCE16}"/>
            </a:ext>
          </a:extLst>
        </xdr:cNvPr>
        <xdr:cNvSpPr/>
      </xdr:nvSpPr>
      <xdr:spPr>
        <a:xfrm>
          <a:off x="6035040" y="4145280"/>
          <a:ext cx="1531620" cy="8991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365760</xdr:colOff>
      <xdr:row>16</xdr:row>
      <xdr:rowOff>152400</xdr:rowOff>
    </xdr:from>
    <xdr:to>
      <xdr:col>22</xdr:col>
      <xdr:colOff>3345180</xdr:colOff>
      <xdr:row>28</xdr:row>
      <xdr:rowOff>38100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9E268694-2A9F-45CF-60F6-746AC8AE934F}"/>
            </a:ext>
          </a:extLst>
        </xdr:cNvPr>
        <xdr:cNvSpPr/>
      </xdr:nvSpPr>
      <xdr:spPr>
        <a:xfrm>
          <a:off x="9936480" y="2964180"/>
          <a:ext cx="2979420" cy="15697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464820</xdr:colOff>
      <xdr:row>1</xdr:row>
      <xdr:rowOff>99060</xdr:rowOff>
    </xdr:from>
    <xdr:to>
      <xdr:col>11</xdr:col>
      <xdr:colOff>182880</xdr:colOff>
      <xdr:row>2</xdr:row>
      <xdr:rowOff>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18973-4A35-4372-AB14-54BC51A5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82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15</xdr:row>
      <xdr:rowOff>15240</xdr:rowOff>
    </xdr:from>
    <xdr:to>
      <xdr:col>31</xdr:col>
      <xdr:colOff>45720</xdr:colOff>
      <xdr:row>23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E18C7B-3965-4BB5-B506-9CC9529DC8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174637</xdr:colOff>
      <xdr:row>12</xdr:row>
      <xdr:rowOff>71202</xdr:rowOff>
    </xdr:from>
    <xdr:to>
      <xdr:col>30</xdr:col>
      <xdr:colOff>89056</xdr:colOff>
      <xdr:row>13</xdr:row>
      <xdr:rowOff>170262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249D7994-55B2-AB1B-8236-941D078518C7}"/>
            </a:ext>
          </a:extLst>
        </xdr:cNvPr>
        <xdr:cNvGrpSpPr>
          <a:grpSpLocks/>
        </xdr:cNvGrpSpPr>
      </xdr:nvGrpSpPr>
      <xdr:grpSpPr>
        <a:xfrm>
          <a:off x="7505077" y="2296242"/>
          <a:ext cx="4128279" cy="274320"/>
          <a:chOff x="7771777" y="2380062"/>
          <a:chExt cx="4128279" cy="360459"/>
        </a:xfrm>
      </xdr:grpSpPr>
      <xdr:grpSp>
        <xdr:nvGrpSpPr>
          <xdr:cNvPr id="44" name="Group 43">
            <a:extLst>
              <a:ext uri="{FF2B5EF4-FFF2-40B4-BE49-F238E27FC236}">
                <a16:creationId xmlns:a16="http://schemas.microsoft.com/office/drawing/2014/main" id="{B97AE867-47B4-4AB2-830A-B6F137383060}"/>
              </a:ext>
            </a:extLst>
          </xdr:cNvPr>
          <xdr:cNvGrpSpPr/>
        </xdr:nvGrpSpPr>
        <xdr:grpSpPr>
          <a:xfrm>
            <a:off x="10662518" y="2380062"/>
            <a:ext cx="457200" cy="360459"/>
            <a:chOff x="8490646" y="2387682"/>
            <a:chExt cx="440659" cy="360459"/>
          </a:xfrm>
        </xdr:grpSpPr>
        <xdr:pic>
          <xdr:nvPicPr>
            <xdr:cNvPr id="45" name="Picture 44">
              <a:extLst>
                <a:ext uri="{FF2B5EF4-FFF2-40B4-BE49-F238E27FC236}">
                  <a16:creationId xmlns:a16="http://schemas.microsoft.com/office/drawing/2014/main" id="{92464B3C-6630-C1F1-8B03-1A2B658184BA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722503" y="2387682"/>
              <a:ext cx="208802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6" name="Picture 45">
              <a:extLst>
                <a:ext uri="{FF2B5EF4-FFF2-40B4-BE49-F238E27FC236}">
                  <a16:creationId xmlns:a16="http://schemas.microsoft.com/office/drawing/2014/main" id="{A9E36A29-62B9-F6E6-1F8C-5B1D1EEDCD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40680" y="2423018"/>
              <a:ext cx="144631" cy="2286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7" name="Picture 46">
              <a:extLst>
                <a:ext uri="{FF2B5EF4-FFF2-40B4-BE49-F238E27FC236}">
                  <a16:creationId xmlns:a16="http://schemas.microsoft.com/office/drawing/2014/main" id="{CB6EDD4C-786C-4ECE-6C0C-2DAB9D67D8E9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flipH="1">
              <a:off x="8490646" y="2387682"/>
              <a:ext cx="208794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E489C9B3-1A9C-7EF1-AF87-0758FD64A7F3}"/>
              </a:ext>
            </a:extLst>
          </xdr:cNvPr>
          <xdr:cNvGrpSpPr/>
        </xdr:nvGrpSpPr>
        <xdr:grpSpPr>
          <a:xfrm>
            <a:off x="8574984" y="2380062"/>
            <a:ext cx="457200" cy="360459"/>
            <a:chOff x="8490646" y="2387682"/>
            <a:chExt cx="440659" cy="360459"/>
          </a:xfrm>
        </xdr:grpSpPr>
        <xdr:pic>
          <xdr:nvPicPr>
            <xdr:cNvPr id="49" name="Picture 48">
              <a:extLst>
                <a:ext uri="{FF2B5EF4-FFF2-40B4-BE49-F238E27FC236}">
                  <a16:creationId xmlns:a16="http://schemas.microsoft.com/office/drawing/2014/main" id="{552A2EDC-8203-14BD-73DA-ECCECEB95069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722503" y="2387682"/>
              <a:ext cx="208802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0" name="Picture 49">
              <a:extLst>
                <a:ext uri="{FF2B5EF4-FFF2-40B4-BE49-F238E27FC236}">
                  <a16:creationId xmlns:a16="http://schemas.microsoft.com/office/drawing/2014/main" id="{5ED2F475-550B-5C31-4A9B-7954781FC10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40680" y="2423018"/>
              <a:ext cx="144631" cy="2286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1" name="Picture 50">
              <a:extLst>
                <a:ext uri="{FF2B5EF4-FFF2-40B4-BE49-F238E27FC236}">
                  <a16:creationId xmlns:a16="http://schemas.microsoft.com/office/drawing/2014/main" id="{A0EF1956-95DB-2999-91EA-E0BE7297024C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flipH="1">
              <a:off x="8490646" y="2387682"/>
              <a:ext cx="208794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52" name="Group 51">
            <a:extLst>
              <a:ext uri="{FF2B5EF4-FFF2-40B4-BE49-F238E27FC236}">
                <a16:creationId xmlns:a16="http://schemas.microsoft.com/office/drawing/2014/main" id="{8F839FEF-AA4A-7CAC-E113-91F864027E98}"/>
              </a:ext>
            </a:extLst>
          </xdr:cNvPr>
          <xdr:cNvGrpSpPr/>
        </xdr:nvGrpSpPr>
        <xdr:grpSpPr>
          <a:xfrm>
            <a:off x="9618751" y="2380062"/>
            <a:ext cx="457200" cy="360459"/>
            <a:chOff x="8490646" y="2387682"/>
            <a:chExt cx="440659" cy="360459"/>
          </a:xfrm>
        </xdr:grpSpPr>
        <xdr:pic>
          <xdr:nvPicPr>
            <xdr:cNvPr id="53" name="Picture 52">
              <a:extLst>
                <a:ext uri="{FF2B5EF4-FFF2-40B4-BE49-F238E27FC236}">
                  <a16:creationId xmlns:a16="http://schemas.microsoft.com/office/drawing/2014/main" id="{53FF2258-BFC3-35D8-98CD-C94B808F5908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722503" y="2387682"/>
              <a:ext cx="208802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4" name="Picture 53">
              <a:extLst>
                <a:ext uri="{FF2B5EF4-FFF2-40B4-BE49-F238E27FC236}">
                  <a16:creationId xmlns:a16="http://schemas.microsoft.com/office/drawing/2014/main" id="{A1FF2AF0-55C3-064D-8DA2-1253B93337B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40680" y="2423018"/>
              <a:ext cx="144631" cy="2286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5" name="Picture 54">
              <a:extLst>
                <a:ext uri="{FF2B5EF4-FFF2-40B4-BE49-F238E27FC236}">
                  <a16:creationId xmlns:a16="http://schemas.microsoft.com/office/drawing/2014/main" id="{6BE0AC14-7B2D-DA29-82FE-ACE7AD653AA0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 flipH="1">
              <a:off x="8490646" y="2387682"/>
              <a:ext cx="208794" cy="36045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64" name="Picture 63">
            <a:extLst>
              <a:ext uri="{FF2B5EF4-FFF2-40B4-BE49-F238E27FC236}">
                <a16:creationId xmlns:a16="http://schemas.microsoft.com/office/drawing/2014/main" id="{617E1C7D-2AD2-4EE4-982D-3D7CDC238943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71777" y="2380062"/>
            <a:ext cx="216640" cy="3604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6" name="Picture 65">
            <a:extLst>
              <a:ext uri="{FF2B5EF4-FFF2-40B4-BE49-F238E27FC236}">
                <a16:creationId xmlns:a16="http://schemas.microsoft.com/office/drawing/2014/main" id="{549973DB-7D05-206B-13DD-AFD7831C0FFB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11683425" y="2380062"/>
            <a:ext cx="216631" cy="3604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13</xdr:col>
      <xdr:colOff>365760</xdr:colOff>
      <xdr:row>15</xdr:row>
      <xdr:rowOff>60960</xdr:rowOff>
    </xdr:from>
    <xdr:to>
      <xdr:col>23</xdr:col>
      <xdr:colOff>312420</xdr:colOff>
      <xdr:row>23</xdr:row>
      <xdr:rowOff>137160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4AF8AD0-CC3D-46FE-A929-C6022103633D}"/>
            </a:ext>
          </a:extLst>
        </xdr:cNvPr>
        <xdr:cNvSpPr/>
      </xdr:nvSpPr>
      <xdr:spPr>
        <a:xfrm>
          <a:off x="7993380" y="2819400"/>
          <a:ext cx="2522220" cy="15392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144780</xdr:colOff>
      <xdr:row>11</xdr:row>
      <xdr:rowOff>152400</xdr:rowOff>
    </xdr:from>
    <xdr:to>
      <xdr:col>26</xdr:col>
      <xdr:colOff>160020</xdr:colOff>
      <xdr:row>14</xdr:row>
      <xdr:rowOff>22860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B82E27E-374A-C9AC-453A-8DC07597DD86}"/>
            </a:ext>
          </a:extLst>
        </xdr:cNvPr>
        <xdr:cNvSpPr/>
      </xdr:nvSpPr>
      <xdr:spPr>
        <a:xfrm>
          <a:off x="7475220" y="2202180"/>
          <a:ext cx="3634740" cy="3962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304800</xdr:colOff>
      <xdr:row>7</xdr:row>
      <xdr:rowOff>121920</xdr:rowOff>
    </xdr:from>
    <xdr:to>
      <xdr:col>9</xdr:col>
      <xdr:colOff>335280</xdr:colOff>
      <xdr:row>18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097156E-AA91-5976-3633-5EDF59C887B3}"/>
            </a:ext>
          </a:extLst>
        </xdr:cNvPr>
        <xdr:cNvSpPr/>
      </xdr:nvSpPr>
      <xdr:spPr>
        <a:xfrm>
          <a:off x="4030980" y="1463040"/>
          <a:ext cx="1737360" cy="18440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251460</xdr:colOff>
      <xdr:row>8</xdr:row>
      <xdr:rowOff>15240</xdr:rowOff>
    </xdr:from>
    <xdr:to>
      <xdr:col>4</xdr:col>
      <xdr:colOff>579120</xdr:colOff>
      <xdr:row>20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EDBA2A5-AEC0-D034-0D3F-BC7DB1A39D99}"/>
            </a:ext>
          </a:extLst>
        </xdr:cNvPr>
        <xdr:cNvSpPr/>
      </xdr:nvSpPr>
      <xdr:spPr>
        <a:xfrm>
          <a:off x="845820" y="1531620"/>
          <a:ext cx="1905000" cy="217932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487680</xdr:colOff>
      <xdr:row>1</xdr:row>
      <xdr:rowOff>99060</xdr:rowOff>
    </xdr:from>
    <xdr:to>
      <xdr:col>9</xdr:col>
      <xdr:colOff>312420</xdr:colOff>
      <xdr:row>2</xdr:row>
      <xdr:rowOff>0</xdr:rowOff>
    </xdr:to>
    <xdr:pic>
      <xdr:nvPicPr>
        <xdr:cNvPr id="4" name="Pictur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CDE8C5-37A2-42AB-AD5D-DD3EF5FC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386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14</xdr:row>
      <xdr:rowOff>99060</xdr:rowOff>
    </xdr:from>
    <xdr:to>
      <xdr:col>11</xdr:col>
      <xdr:colOff>15240</xdr:colOff>
      <xdr:row>24</xdr:row>
      <xdr:rowOff>167640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B8C674B-F4E1-45C0-AE2A-15015E84F91B}"/>
            </a:ext>
          </a:extLst>
        </xdr:cNvPr>
        <xdr:cNvSpPr/>
      </xdr:nvSpPr>
      <xdr:spPr>
        <a:xfrm>
          <a:off x="2110740" y="2583180"/>
          <a:ext cx="1005840" cy="18973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449580</xdr:colOff>
      <xdr:row>15</xdr:row>
      <xdr:rowOff>76200</xdr:rowOff>
    </xdr:from>
    <xdr:to>
      <xdr:col>31</xdr:col>
      <xdr:colOff>426720</xdr:colOff>
      <xdr:row>25</xdr:row>
      <xdr:rowOff>15240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8C51E23-563D-64CE-B402-E7F51FF89807}"/>
            </a:ext>
          </a:extLst>
        </xdr:cNvPr>
        <xdr:cNvSpPr/>
      </xdr:nvSpPr>
      <xdr:spPr>
        <a:xfrm>
          <a:off x="8519160" y="2743200"/>
          <a:ext cx="2522220" cy="17678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106680</xdr:colOff>
      <xdr:row>14</xdr:row>
      <xdr:rowOff>83820</xdr:rowOff>
    </xdr:from>
    <xdr:to>
      <xdr:col>17</xdr:col>
      <xdr:colOff>342900</xdr:colOff>
      <xdr:row>24</xdr:row>
      <xdr:rowOff>152400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7B33AB0-AE6F-56F8-B79A-2DCDB5A08DFF}"/>
            </a:ext>
          </a:extLst>
        </xdr:cNvPr>
        <xdr:cNvSpPr/>
      </xdr:nvSpPr>
      <xdr:spPr>
        <a:xfrm>
          <a:off x="3314700" y="2567940"/>
          <a:ext cx="2049780" cy="18973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106680</xdr:colOff>
      <xdr:row>1</xdr:row>
      <xdr:rowOff>99060</xdr:rowOff>
    </xdr:from>
    <xdr:to>
      <xdr:col>12</xdr:col>
      <xdr:colOff>106680</xdr:colOff>
      <xdr:row>2</xdr:row>
      <xdr:rowOff>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7F734-BF5B-42BF-B11E-2E08744D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308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27</xdr:col>
      <xdr:colOff>211223</xdr:colOff>
      <xdr:row>19</xdr:row>
      <xdr:rowOff>38327</xdr:rowOff>
    </xdr:from>
    <xdr:to>
      <xdr:col>29</xdr:col>
      <xdr:colOff>990601</xdr:colOff>
      <xdr:row>28</xdr:row>
      <xdr:rowOff>139988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84A9B8B-52E4-42AA-A398-F6AA733D8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190500</xdr:colOff>
      <xdr:row>21</xdr:row>
      <xdr:rowOff>152400</xdr:rowOff>
    </xdr:from>
    <xdr:to>
      <xdr:col>11</xdr:col>
      <xdr:colOff>281940</xdr:colOff>
      <xdr:row>28</xdr:row>
      <xdr:rowOff>30480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10E110C-182A-074F-6934-25CCD63361B7}"/>
            </a:ext>
          </a:extLst>
        </xdr:cNvPr>
        <xdr:cNvSpPr/>
      </xdr:nvSpPr>
      <xdr:spPr>
        <a:xfrm>
          <a:off x="4244340" y="3535680"/>
          <a:ext cx="2400300" cy="11582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83820</xdr:colOff>
      <xdr:row>20</xdr:row>
      <xdr:rowOff>30480</xdr:rowOff>
    </xdr:from>
    <xdr:to>
      <xdr:col>23</xdr:col>
      <xdr:colOff>556260</xdr:colOff>
      <xdr:row>29</xdr:row>
      <xdr:rowOff>22860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BE3FBF3-E09F-B558-14C8-48C08652FB8E}"/>
            </a:ext>
          </a:extLst>
        </xdr:cNvPr>
        <xdr:cNvSpPr/>
      </xdr:nvSpPr>
      <xdr:spPr>
        <a:xfrm>
          <a:off x="7703820" y="3215640"/>
          <a:ext cx="2682240" cy="165354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22860</xdr:colOff>
      <xdr:row>25</xdr:row>
      <xdr:rowOff>167640</xdr:rowOff>
    </xdr:from>
    <xdr:to>
      <xdr:col>6</xdr:col>
      <xdr:colOff>563880</xdr:colOff>
      <xdr:row>29</xdr:row>
      <xdr:rowOff>7620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F931ACF-9283-C04E-42A5-560BDD52DA78}"/>
            </a:ext>
          </a:extLst>
        </xdr:cNvPr>
        <xdr:cNvSpPr/>
      </xdr:nvSpPr>
      <xdr:spPr>
        <a:xfrm>
          <a:off x="1257300" y="4282440"/>
          <a:ext cx="1531620" cy="57150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53340</xdr:colOff>
      <xdr:row>15</xdr:row>
      <xdr:rowOff>38100</xdr:rowOff>
    </xdr:from>
    <xdr:to>
      <xdr:col>8</xdr:col>
      <xdr:colOff>434340</xdr:colOff>
      <xdr:row>18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2A9F009C-FC95-8327-ECA1-B0174A714F83}"/>
            </a:ext>
          </a:extLst>
        </xdr:cNvPr>
        <xdr:cNvSpPr/>
      </xdr:nvSpPr>
      <xdr:spPr>
        <a:xfrm>
          <a:off x="1287780" y="2324100"/>
          <a:ext cx="2362200" cy="5257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129540</xdr:colOff>
      <xdr:row>20</xdr:row>
      <xdr:rowOff>160020</xdr:rowOff>
    </xdr:from>
    <xdr:to>
      <xdr:col>6</xdr:col>
      <xdr:colOff>670560</xdr:colOff>
      <xdr:row>24</xdr:row>
      <xdr:rowOff>7620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42427DD5-5C17-0E24-1CE1-F72CD159273D}"/>
            </a:ext>
          </a:extLst>
        </xdr:cNvPr>
        <xdr:cNvSpPr/>
      </xdr:nvSpPr>
      <xdr:spPr>
        <a:xfrm>
          <a:off x="1363980" y="3345180"/>
          <a:ext cx="1531620" cy="59436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0</xdr:colOff>
      <xdr:row>1</xdr:row>
      <xdr:rowOff>99060</xdr:rowOff>
    </xdr:from>
    <xdr:to>
      <xdr:col>8</xdr:col>
      <xdr:colOff>45720</xdr:colOff>
      <xdr:row>2</xdr:row>
      <xdr:rowOff>0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4000B-4951-4776-A767-4ACB46B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9740" y="2057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228600</xdr:colOff>
      <xdr:row>7</xdr:row>
      <xdr:rowOff>76200</xdr:rowOff>
    </xdr:from>
    <xdr:to>
      <xdr:col>26</xdr:col>
      <xdr:colOff>182880</xdr:colOff>
      <xdr:row>17</xdr:row>
      <xdr:rowOff>160020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BC6079-8CA6-D766-EDB4-A3585CAC597F}"/>
            </a:ext>
          </a:extLst>
        </xdr:cNvPr>
        <xdr:cNvSpPr/>
      </xdr:nvSpPr>
      <xdr:spPr>
        <a:xfrm>
          <a:off x="7848600" y="1394460"/>
          <a:ext cx="3185160" cy="1402080"/>
        </a:xfrm>
        <a:prstGeom prst="rect">
          <a:avLst/>
        </a:prstGeom>
        <a:gradFill>
          <a:gsLst>
            <a:gs pos="35000">
              <a:schemeClr val="bg1">
                <a:alpha val="94000"/>
              </a:schemeClr>
            </a:gs>
            <a:gs pos="100000">
              <a:schemeClr val="bg1">
                <a:lumMod val="95000"/>
                <a:alpha val="34000"/>
              </a:schemeClr>
            </a:gs>
          </a:gsLst>
          <a:path path="circle">
            <a:fillToRect l="50000" t="50000" r="50000" b="50000"/>
          </a:path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0.80833</cdr:x>
      <cdr:y>0.91531</cdr:y>
    </cdr:from>
    <cdr:to>
      <cdr:x>0.92931</cdr:x>
      <cdr:y>0.98355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C511ADC-985F-C097-8273-E3C063BB2B66}"/>
            </a:ext>
          </a:extLst>
        </cdr:cNvPr>
        <cdr:cNvSpPr txBox="1"/>
      </cdr:nvSpPr>
      <cdr:spPr>
        <a:xfrm xmlns:a="http://schemas.openxmlformats.org/drawingml/2006/main">
          <a:off x="1887320" y="1610858"/>
          <a:ext cx="282468" cy="120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square" lIns="0" rIns="0" rtlCol="0" anchor="ctr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en-US" sz="1000" b="1" kern="1200">
              <a:solidFill>
                <a:srgbClr val="A80000"/>
              </a:solidFill>
            </a:rPr>
            <a:t>Price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0.13166</cdr:x>
      <cdr:y>0.08511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A80E643-452C-C02B-3778-1367EBCB7FB6}"/>
            </a:ext>
          </a:extLst>
        </cdr:cNvPr>
        <cdr:cNvSpPr txBox="1"/>
      </cdr:nvSpPr>
      <cdr:spPr>
        <a:xfrm xmlns:a="http://schemas.openxmlformats.org/drawingml/2006/main">
          <a:off x="0" y="0"/>
          <a:ext cx="32004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square" lIns="0" rIns="0" rtlCol="0" anchor="ctr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 kern="1200">
              <a:solidFill>
                <a:srgbClr val="006800"/>
              </a:solidFill>
            </a:rPr>
            <a:t>Yield</a:t>
          </a:r>
          <a:endParaRPr lang="en-US" sz="950" b="1" kern="1200">
            <a:solidFill>
              <a:srgbClr val="0068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xcelmodels.com/checkout/?add-to-cart=7463&amp;coupon=SAVE20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AEF57-5DA1-43F7-8427-7CDF7587E390}">
  <sheetPr>
    <tabColor rgb="FF0080EA"/>
    <pageSetUpPr fitToPage="1"/>
  </sheetPr>
  <dimension ref="A1:W66"/>
  <sheetViews>
    <sheetView showGridLines="0" showRowColHeaders="0" tabSelected="1" zoomScaleNormal="100" zoomScaleSheetLayoutView="85" workbookViewId="0">
      <selection sqref="A1:A1048576"/>
    </sheetView>
  </sheetViews>
  <sheetFormatPr defaultColWidth="9.109375" defaultRowHeight="14.4" x14ac:dyDescent="0.3"/>
  <cols>
    <col min="1" max="1" width="3.109375" style="81" customWidth="1"/>
    <col min="2" max="2" width="5.5546875" style="81" customWidth="1"/>
    <col min="3" max="3" width="22.77734375" style="236" customWidth="1"/>
    <col min="4" max="4" width="2.5546875" style="236" customWidth="1"/>
    <col min="5" max="5" width="22.88671875" style="236" customWidth="1"/>
    <col min="6" max="6" width="2.5546875" style="236" customWidth="1"/>
    <col min="7" max="7" width="22.77734375" style="236" customWidth="1"/>
    <col min="8" max="8" width="12.88671875" style="617" customWidth="1"/>
    <col min="9" max="22" width="12.88671875" style="236" customWidth="1"/>
    <col min="23" max="16384" width="9.109375" style="236"/>
  </cols>
  <sheetData>
    <row r="1" spans="1:23" s="67" customFormat="1" ht="8.4" customHeight="1" x14ac:dyDescent="0.2">
      <c r="A1" s="885" t="s">
        <v>59</v>
      </c>
      <c r="E1" s="68"/>
      <c r="H1" s="167"/>
      <c r="W1" s="69"/>
    </row>
    <row r="2" spans="1:23" ht="23.4" x14ac:dyDescent="0.45">
      <c r="A2" s="70"/>
      <c r="B2" s="368"/>
      <c r="H2" s="616"/>
    </row>
    <row r="3" spans="1:23" ht="17.399999999999999" x14ac:dyDescent="0.35">
      <c r="A3" s="75"/>
      <c r="B3" s="875"/>
      <c r="H3" s="236"/>
    </row>
    <row r="4" spans="1:23" s="549" customFormat="1" x14ac:dyDescent="0.3">
      <c r="A4" s="81"/>
      <c r="B4" s="85"/>
    </row>
    <row r="5" spans="1:23" s="549" customFormat="1" ht="15.6" x14ac:dyDescent="0.3">
      <c r="A5" s="184"/>
      <c r="B5" s="536"/>
    </row>
    <row r="6" spans="1:23" s="549" customFormat="1" ht="21" customHeight="1" x14ac:dyDescent="0.3">
      <c r="A6" s="109"/>
      <c r="B6" s="85"/>
    </row>
    <row r="7" spans="1:23" s="549" customFormat="1" ht="30" customHeight="1" x14ac:dyDescent="0.25">
      <c r="A7" s="191"/>
      <c r="B7" s="540"/>
    </row>
    <row r="8" spans="1:23" s="876" customFormat="1" ht="18" customHeight="1" x14ac:dyDescent="0.3">
      <c r="A8" s="109"/>
      <c r="B8" s="158"/>
      <c r="C8" s="886" t="s">
        <v>49</v>
      </c>
      <c r="E8" s="887" t="s">
        <v>365</v>
      </c>
      <c r="G8" s="888" t="s">
        <v>366</v>
      </c>
    </row>
    <row r="9" spans="1:23" s="876" customFormat="1" ht="18" customHeight="1" x14ac:dyDescent="0.3">
      <c r="A9" s="109"/>
      <c r="B9" s="158"/>
      <c r="C9" s="889" t="s">
        <v>367</v>
      </c>
      <c r="E9" s="890" t="s">
        <v>368</v>
      </c>
      <c r="G9" s="891" t="s">
        <v>369</v>
      </c>
    </row>
    <row r="10" spans="1:23" s="876" customFormat="1" ht="18" customHeight="1" x14ac:dyDescent="0.3">
      <c r="A10" s="109"/>
      <c r="B10" s="158"/>
      <c r="C10" s="892" t="s">
        <v>370</v>
      </c>
      <c r="E10" s="893" t="s">
        <v>371</v>
      </c>
      <c r="G10" s="894" t="s">
        <v>372</v>
      </c>
    </row>
    <row r="11" spans="1:23" ht="18" customHeight="1" x14ac:dyDescent="0.3">
      <c r="A11" s="109"/>
      <c r="B11" s="158"/>
      <c r="C11" s="892" t="s">
        <v>373</v>
      </c>
      <c r="D11" s="876"/>
      <c r="E11" s="893" t="s">
        <v>374</v>
      </c>
      <c r="F11" s="876"/>
      <c r="G11" s="894" t="s">
        <v>375</v>
      </c>
      <c r="H11" s="876"/>
    </row>
    <row r="12" spans="1:23" s="549" customFormat="1" ht="18" customHeight="1" x14ac:dyDescent="0.3">
      <c r="A12" s="109"/>
      <c r="B12" s="158"/>
      <c r="C12" s="895" t="s">
        <v>376</v>
      </c>
      <c r="D12" s="876"/>
      <c r="E12" s="896" t="s">
        <v>377</v>
      </c>
      <c r="F12" s="876"/>
      <c r="G12" s="897" t="s">
        <v>378</v>
      </c>
      <c r="H12" s="876"/>
    </row>
    <row r="13" spans="1:23" s="549" customFormat="1" ht="30" customHeight="1" x14ac:dyDescent="0.3">
      <c r="A13" s="109"/>
      <c r="B13" s="540"/>
    </row>
    <row r="14" spans="1:23" x14ac:dyDescent="0.3">
      <c r="A14" s="109"/>
      <c r="B14" s="141"/>
      <c r="H14" s="236"/>
    </row>
    <row r="15" spans="1:23" s="549" customFormat="1" x14ac:dyDescent="0.3">
      <c r="A15" s="109"/>
      <c r="B15" s="141"/>
    </row>
    <row r="16" spans="1:23" s="549" customFormat="1" x14ac:dyDescent="0.3">
      <c r="A16" s="109"/>
      <c r="B16" s="141"/>
    </row>
    <row r="17" spans="1:8" s="549" customFormat="1" x14ac:dyDescent="0.3">
      <c r="A17" s="109"/>
      <c r="B17" s="141"/>
      <c r="H17" s="550"/>
    </row>
    <row r="18" spans="1:8" s="549" customFormat="1" x14ac:dyDescent="0.3">
      <c r="A18" s="109"/>
      <c r="B18" s="141"/>
      <c r="H18" s="550"/>
    </row>
    <row r="19" spans="1:8" s="549" customFormat="1" x14ac:dyDescent="0.3">
      <c r="A19" s="109"/>
      <c r="B19" s="141"/>
      <c r="H19" s="550"/>
    </row>
    <row r="20" spans="1:8" s="549" customFormat="1" x14ac:dyDescent="0.3">
      <c r="A20" s="109"/>
      <c r="B20" s="141"/>
      <c r="H20" s="550"/>
    </row>
    <row r="21" spans="1:8" s="549" customFormat="1" x14ac:dyDescent="0.3">
      <c r="A21" s="109"/>
      <c r="B21" s="141"/>
      <c r="H21" s="550"/>
    </row>
    <row r="22" spans="1:8" s="549" customFormat="1" x14ac:dyDescent="0.3">
      <c r="A22" s="109"/>
      <c r="B22" s="141"/>
      <c r="H22" s="550"/>
    </row>
    <row r="23" spans="1:8" s="549" customFormat="1" x14ac:dyDescent="0.3">
      <c r="A23" s="109"/>
      <c r="B23" s="81"/>
      <c r="H23" s="550"/>
    </row>
    <row r="24" spans="1:8" s="549" customFormat="1" x14ac:dyDescent="0.3">
      <c r="A24" s="109"/>
      <c r="B24" s="81"/>
      <c r="H24" s="550"/>
    </row>
    <row r="25" spans="1:8" s="549" customFormat="1" x14ac:dyDescent="0.3">
      <c r="A25" s="109"/>
      <c r="B25" s="81"/>
      <c r="H25" s="617"/>
    </row>
    <row r="26" spans="1:8" s="549" customFormat="1" x14ac:dyDescent="0.3">
      <c r="A26" s="109"/>
      <c r="B26" s="81"/>
      <c r="H26" s="617"/>
    </row>
    <row r="27" spans="1:8" s="549" customFormat="1" x14ac:dyDescent="0.3">
      <c r="A27" s="109"/>
      <c r="B27" s="81"/>
      <c r="H27" s="617"/>
    </row>
    <row r="28" spans="1:8" s="549" customFormat="1" x14ac:dyDescent="0.3">
      <c r="A28" s="81"/>
      <c r="B28" s="81"/>
      <c r="H28" s="617"/>
    </row>
    <row r="29" spans="1:8" s="549" customFormat="1" x14ac:dyDescent="0.3">
      <c r="A29" s="81"/>
      <c r="B29" s="81"/>
      <c r="H29" s="617"/>
    </row>
    <row r="30" spans="1:8" s="549" customFormat="1" x14ac:dyDescent="0.3">
      <c r="A30" s="81"/>
      <c r="B30" s="81"/>
      <c r="H30" s="617"/>
    </row>
    <row r="31" spans="1:8" s="549" customFormat="1" x14ac:dyDescent="0.3">
      <c r="A31" s="81"/>
      <c r="B31" s="81"/>
      <c r="H31" s="617"/>
    </row>
    <row r="32" spans="1:8" s="551" customFormat="1" x14ac:dyDescent="0.3">
      <c r="A32" s="155"/>
      <c r="B32" s="81"/>
      <c r="H32" s="617"/>
    </row>
    <row r="33" spans="1:8" s="551" customFormat="1" x14ac:dyDescent="0.3">
      <c r="A33" s="81"/>
      <c r="B33" s="81"/>
      <c r="H33" s="617"/>
    </row>
    <row r="34" spans="1:8" s="551" customFormat="1" x14ac:dyDescent="0.3">
      <c r="A34" s="81"/>
      <c r="B34" s="81"/>
      <c r="H34" s="617"/>
    </row>
    <row r="35" spans="1:8" s="551" customFormat="1" x14ac:dyDescent="0.3">
      <c r="A35" s="81"/>
      <c r="B35" s="81"/>
      <c r="H35" s="617"/>
    </row>
    <row r="36" spans="1:8" s="551" customFormat="1" x14ac:dyDescent="0.3">
      <c r="A36" s="81"/>
      <c r="B36" s="81"/>
      <c r="H36" s="617"/>
    </row>
    <row r="37" spans="1:8" s="551" customFormat="1" x14ac:dyDescent="0.3">
      <c r="A37" s="81"/>
      <c r="B37" s="81"/>
      <c r="H37" s="617"/>
    </row>
    <row r="38" spans="1:8" s="551" customFormat="1" x14ac:dyDescent="0.3">
      <c r="A38" s="81"/>
      <c r="B38" s="81"/>
      <c r="H38" s="617"/>
    </row>
    <row r="39" spans="1:8" s="551" customFormat="1" x14ac:dyDescent="0.3">
      <c r="A39" s="81"/>
      <c r="B39" s="81"/>
      <c r="H39" s="617"/>
    </row>
    <row r="40" spans="1:8" s="551" customFormat="1" x14ac:dyDescent="0.3">
      <c r="A40" s="81"/>
      <c r="B40" s="81"/>
      <c r="H40" s="617"/>
    </row>
    <row r="41" spans="1:8" s="551" customFormat="1" x14ac:dyDescent="0.3">
      <c r="A41" s="81"/>
      <c r="B41" s="81"/>
      <c r="H41" s="617"/>
    </row>
    <row r="42" spans="1:8" s="551" customFormat="1" x14ac:dyDescent="0.3">
      <c r="A42" s="81"/>
      <c r="B42" s="81"/>
      <c r="H42" s="617"/>
    </row>
    <row r="43" spans="1:8" s="551" customFormat="1" x14ac:dyDescent="0.3">
      <c r="A43" s="81"/>
      <c r="B43" s="81"/>
      <c r="H43" s="617"/>
    </row>
    <row r="44" spans="1:8" s="551" customFormat="1" x14ac:dyDescent="0.3">
      <c r="A44" s="81"/>
      <c r="B44" s="81"/>
      <c r="H44" s="617"/>
    </row>
    <row r="45" spans="1:8" s="551" customFormat="1" x14ac:dyDescent="0.3">
      <c r="A45" s="81"/>
      <c r="B45" s="81"/>
      <c r="H45" s="617"/>
    </row>
    <row r="46" spans="1:8" s="551" customFormat="1" x14ac:dyDescent="0.3">
      <c r="A46" s="81"/>
      <c r="B46" s="81"/>
      <c r="H46" s="617"/>
    </row>
    <row r="47" spans="1:8" s="551" customFormat="1" x14ac:dyDescent="0.3">
      <c r="A47" s="81"/>
      <c r="B47" s="81"/>
      <c r="H47" s="617"/>
    </row>
    <row r="49" spans="1:8" s="549" customFormat="1" x14ac:dyDescent="0.3">
      <c r="A49" s="81"/>
      <c r="B49" s="81"/>
      <c r="H49" s="617"/>
    </row>
    <row r="66" spans="5:5" x14ac:dyDescent="0.3">
      <c r="E66" s="236" t="s">
        <v>146</v>
      </c>
    </row>
  </sheetData>
  <sheetProtection algorithmName="SHA-512" hashValue="CLcrGwKoQd6HhFx+5NyaL3LH4wHDFnz+fsDPD+cCvLpXcAHsNoA1gPTEtrF2svTzbArS8eopYi6/VXwgVgiqzA==" saltValue="crZXBLyqHXuW1CHMoPfSbQ==" spinCount="100000" sheet="1" objects="1" scenarios="1" selectLockedCells="1" selectUnlockedCells="1"/>
  <printOptions horizontalCentered="1"/>
  <pageMargins left="0.75" right="0.5" top="0.75" bottom="1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C5D9F1"/>
    <pageSetUpPr fitToPage="1"/>
  </sheetPr>
  <dimension ref="A1:X48"/>
  <sheetViews>
    <sheetView showGridLines="0" zoomScaleNormal="100" zoomScaleSheetLayoutView="100" workbookViewId="0">
      <selection sqref="A1:A1048576"/>
    </sheetView>
  </sheetViews>
  <sheetFormatPr defaultColWidth="9.109375" defaultRowHeight="14.4" x14ac:dyDescent="0.3"/>
  <cols>
    <col min="1" max="1" width="3.109375" style="81" customWidth="1"/>
    <col min="2" max="2" width="5.5546875" style="89" customWidth="1"/>
    <col min="3" max="3" width="14" style="89" customWidth="1"/>
    <col min="4" max="4" width="7.5546875" style="88" bestFit="1" customWidth="1"/>
    <col min="5" max="5" width="8" style="88" bestFit="1" customWidth="1"/>
    <col min="6" max="6" width="1.6640625" style="150" customWidth="1"/>
    <col min="7" max="7" width="9.44140625" style="150" customWidth="1"/>
    <col min="8" max="8" width="17.6640625" style="89" bestFit="1" customWidth="1"/>
    <col min="9" max="9" width="7.5546875" style="88" bestFit="1" customWidth="1"/>
    <col min="10" max="10" width="8.33203125" style="151" bestFit="1" customWidth="1"/>
    <col min="11" max="11" width="1.6640625" style="83" customWidth="1"/>
    <col min="12" max="12" width="11.109375" style="152" customWidth="1"/>
    <col min="13" max="13" width="1.6640625" style="89" customWidth="1"/>
    <col min="14" max="14" width="21.44140625" style="89" bestFit="1" customWidth="1"/>
    <col min="15" max="15" width="7.5546875" style="88" bestFit="1" customWidth="1"/>
    <col min="16" max="16" width="18.5546875" style="153" customWidth="1"/>
    <col min="17" max="17" width="5.5546875" style="152" customWidth="1"/>
    <col min="18" max="18" width="1.6640625" style="89" customWidth="1"/>
    <col min="19" max="19" width="14.44140625" style="154" customWidth="1"/>
    <col min="20" max="20" width="5.44140625" style="153" customWidth="1"/>
    <col min="21" max="21" width="5.6640625" style="89" bestFit="1" customWidth="1"/>
    <col min="22" max="22" width="5" style="89" bestFit="1" customWidth="1"/>
    <col min="23" max="16384" width="9.109375" style="89"/>
  </cols>
  <sheetData>
    <row r="1" spans="1:23" s="67" customFormat="1" ht="8.4" customHeight="1" x14ac:dyDescent="0.2">
      <c r="A1" s="885" t="s">
        <v>59</v>
      </c>
      <c r="E1" s="68"/>
      <c r="H1" s="167"/>
      <c r="W1" s="69"/>
    </row>
    <row r="2" spans="1:23" s="168" customFormat="1" ht="23.4" x14ac:dyDescent="0.45">
      <c r="A2" s="70"/>
      <c r="C2" s="71" t="s">
        <v>49</v>
      </c>
      <c r="D2" s="169"/>
      <c r="E2" s="169"/>
      <c r="H2" s="290"/>
      <c r="I2" s="73"/>
      <c r="J2" s="71"/>
      <c r="K2" s="71"/>
      <c r="L2" s="170"/>
      <c r="O2" s="169"/>
      <c r="P2" s="171"/>
      <c r="Q2" s="170"/>
      <c r="T2" s="171"/>
    </row>
    <row r="3" spans="1:23" s="172" customFormat="1" ht="18" x14ac:dyDescent="0.35">
      <c r="A3" s="75"/>
      <c r="C3" s="173" t="s">
        <v>215</v>
      </c>
      <c r="D3" s="174"/>
      <c r="E3" s="174"/>
      <c r="F3" s="175"/>
      <c r="G3" s="175"/>
      <c r="I3" s="174"/>
      <c r="J3" s="176"/>
      <c r="K3" s="177"/>
      <c r="L3" s="178"/>
      <c r="O3" s="174"/>
      <c r="P3" s="179"/>
      <c r="R3" s="898"/>
      <c r="S3" s="898"/>
      <c r="T3" s="898"/>
      <c r="U3" s="883"/>
    </row>
    <row r="4" spans="1:23" s="85" customFormat="1" x14ac:dyDescent="0.3">
      <c r="A4" s="81"/>
      <c r="C4" s="82"/>
      <c r="D4" s="180"/>
      <c r="E4" s="180"/>
      <c r="F4" s="83"/>
      <c r="G4" s="83"/>
      <c r="H4" s="181"/>
      <c r="I4" s="180"/>
      <c r="J4" s="180"/>
      <c r="L4" s="182"/>
      <c r="O4" s="88"/>
      <c r="P4" s="153"/>
      <c r="Q4" s="183"/>
      <c r="T4" s="153"/>
    </row>
    <row r="5" spans="1:23" s="185" customFormat="1" ht="15.6" x14ac:dyDescent="0.3">
      <c r="A5" s="184"/>
      <c r="C5" s="86" t="s">
        <v>343</v>
      </c>
      <c r="D5" s="186"/>
      <c r="E5" s="186"/>
      <c r="F5" s="187"/>
      <c r="G5" s="188"/>
      <c r="H5" s="86" t="s">
        <v>344</v>
      </c>
      <c r="I5" s="189"/>
      <c r="J5" s="186"/>
      <c r="K5" s="187"/>
      <c r="L5" s="186"/>
      <c r="M5" s="86"/>
      <c r="N5" s="86" t="s">
        <v>345</v>
      </c>
      <c r="O5" s="189"/>
      <c r="P5" s="190"/>
      <c r="Q5" s="186"/>
      <c r="T5" s="190"/>
      <c r="V5" s="86"/>
    </row>
    <row r="6" spans="1:23" s="111" customFormat="1" ht="13.8" x14ac:dyDescent="0.3">
      <c r="A6" s="109"/>
      <c r="C6" s="141" t="s">
        <v>346</v>
      </c>
      <c r="D6" s="143"/>
      <c r="E6" s="143"/>
      <c r="F6" s="141"/>
      <c r="G6" s="116"/>
      <c r="H6" s="141" t="s">
        <v>183</v>
      </c>
      <c r="I6" s="142"/>
      <c r="J6" s="143"/>
      <c r="K6" s="141"/>
      <c r="L6" s="143"/>
      <c r="M6" s="145"/>
      <c r="N6" s="141" t="s">
        <v>176</v>
      </c>
      <c r="O6" s="142"/>
      <c r="Q6" s="143"/>
      <c r="T6" s="147"/>
      <c r="V6" s="145"/>
    </row>
    <row r="7" spans="1:23" s="199" customFormat="1" ht="18" customHeight="1" x14ac:dyDescent="0.3">
      <c r="A7" s="191"/>
      <c r="B7" s="192"/>
      <c r="C7" s="193"/>
      <c r="D7" s="194" t="s">
        <v>28</v>
      </c>
      <c r="E7" s="195" t="s">
        <v>224</v>
      </c>
      <c r="F7" s="196"/>
      <c r="G7" s="196"/>
      <c r="H7" s="197"/>
      <c r="I7" s="198" t="s">
        <v>28</v>
      </c>
      <c r="J7" s="195" t="s">
        <v>224</v>
      </c>
      <c r="K7" s="196"/>
      <c r="L7" s="196"/>
      <c r="M7" s="196"/>
      <c r="N7" s="197"/>
      <c r="O7" s="107" t="s">
        <v>27</v>
      </c>
      <c r="P7" s="195" t="s">
        <v>205</v>
      </c>
      <c r="Q7" s="192"/>
      <c r="R7" s="192"/>
      <c r="S7" s="195" t="s">
        <v>11</v>
      </c>
      <c r="T7" s="195"/>
      <c r="U7" s="192"/>
      <c r="V7" s="192"/>
      <c r="W7" s="192"/>
    </row>
    <row r="8" spans="1:23" s="141" customFormat="1" ht="13.8" x14ac:dyDescent="0.3">
      <c r="A8" s="109"/>
      <c r="C8" s="618" t="s">
        <v>26</v>
      </c>
      <c r="D8" s="619">
        <v>4500</v>
      </c>
      <c r="E8" s="620">
        <v>4635</v>
      </c>
      <c r="F8" s="166"/>
      <c r="G8" s="166"/>
      <c r="H8" s="621" t="s">
        <v>10</v>
      </c>
      <c r="I8" s="622">
        <f>I27-SUM(I14,I9:I10)</f>
        <v>3195</v>
      </c>
      <c r="J8" s="623">
        <f>J27-SUM(J14,J9:J10)</f>
        <v>3240.6434285714286</v>
      </c>
      <c r="K8" s="38"/>
      <c r="L8" s="165"/>
      <c r="M8" s="1"/>
      <c r="N8" s="621" t="s">
        <v>1</v>
      </c>
      <c r="O8" s="622">
        <f>E20</f>
        <v>632.64342857142856</v>
      </c>
      <c r="P8" s="624" t="s">
        <v>37</v>
      </c>
      <c r="Q8" s="165"/>
      <c r="R8" s="50"/>
      <c r="S8" s="164" t="s">
        <v>352</v>
      </c>
      <c r="T8" s="625">
        <v>4.7771428571428569E-2</v>
      </c>
    </row>
    <row r="9" spans="1:23" s="141" customFormat="1" ht="13.8" x14ac:dyDescent="0.3">
      <c r="A9" s="109"/>
      <c r="C9" s="626" t="s">
        <v>38</v>
      </c>
      <c r="D9" s="627">
        <v>800</v>
      </c>
      <c r="E9" s="628">
        <v>825</v>
      </c>
      <c r="F9" s="3"/>
      <c r="G9" s="166"/>
      <c r="H9" s="629" t="s">
        <v>44</v>
      </c>
      <c r="I9" s="630">
        <v>901</v>
      </c>
      <c r="J9" s="631">
        <v>955</v>
      </c>
      <c r="K9" s="39"/>
      <c r="L9" s="165"/>
      <c r="M9" s="4"/>
      <c r="N9" s="629" t="s">
        <v>24</v>
      </c>
      <c r="O9" s="630">
        <f>E16</f>
        <v>100</v>
      </c>
      <c r="P9" s="632" t="s">
        <v>201</v>
      </c>
      <c r="Q9" s="165"/>
      <c r="R9" s="51"/>
      <c r="S9" s="164" t="s">
        <v>351</v>
      </c>
      <c r="T9" s="633">
        <f>Financials!T8+1.5%</f>
        <v>6.2771428571428561E-2</v>
      </c>
    </row>
    <row r="10" spans="1:23" s="141" customFormat="1" ht="13.8" x14ac:dyDescent="0.3">
      <c r="A10" s="109"/>
      <c r="C10" s="634" t="s">
        <v>19</v>
      </c>
      <c r="D10" s="635">
        <f>+D8-D9</f>
        <v>3700</v>
      </c>
      <c r="E10" s="636">
        <f>+E8-E9</f>
        <v>3810</v>
      </c>
      <c r="H10" s="637" t="s">
        <v>16</v>
      </c>
      <c r="I10" s="638">
        <v>800</v>
      </c>
      <c r="J10" s="639">
        <v>850</v>
      </c>
      <c r="K10" s="3"/>
      <c r="L10" s="161"/>
      <c r="N10" s="629" t="s">
        <v>195</v>
      </c>
      <c r="O10" s="630"/>
      <c r="P10" s="632"/>
      <c r="Q10" s="161"/>
      <c r="S10" s="164" t="s">
        <v>317</v>
      </c>
      <c r="T10" s="640">
        <v>0.4</v>
      </c>
    </row>
    <row r="11" spans="1:23" s="141" customFormat="1" ht="13.8" x14ac:dyDescent="0.3">
      <c r="A11" s="109"/>
      <c r="C11" s="641" t="s">
        <v>29</v>
      </c>
      <c r="D11" s="635">
        <v>2200</v>
      </c>
      <c r="E11" s="636">
        <v>2200</v>
      </c>
      <c r="H11" s="642" t="s">
        <v>7</v>
      </c>
      <c r="I11" s="630">
        <f>SUM(I8:I10)</f>
        <v>4896</v>
      </c>
      <c r="J11" s="631">
        <f>SUM(J8:J10)</f>
        <v>5045.6434285714286</v>
      </c>
      <c r="L11" s="161"/>
      <c r="M11" s="5"/>
      <c r="N11" s="643" t="s">
        <v>203</v>
      </c>
      <c r="O11" s="630">
        <f>I9-J9</f>
        <v>-54</v>
      </c>
      <c r="P11" s="632" t="s">
        <v>63</v>
      </c>
      <c r="Q11" s="161"/>
      <c r="S11" s="148"/>
      <c r="T11" s="147"/>
    </row>
    <row r="12" spans="1:23" s="141" customFormat="1" ht="13.8" x14ac:dyDescent="0.3">
      <c r="A12" s="109"/>
      <c r="C12" s="641" t="s">
        <v>30</v>
      </c>
      <c r="D12" s="635">
        <v>65</v>
      </c>
      <c r="E12" s="636">
        <v>65</v>
      </c>
      <c r="H12" s="629" t="s">
        <v>43</v>
      </c>
      <c r="I12" s="630">
        <v>1845</v>
      </c>
      <c r="J12" s="631">
        <v>2100</v>
      </c>
      <c r="K12" s="40"/>
      <c r="L12" s="161"/>
      <c r="M12" s="6"/>
      <c r="N12" s="643" t="s">
        <v>35</v>
      </c>
      <c r="O12" s="630">
        <f>I10-J10</f>
        <v>-50</v>
      </c>
      <c r="P12" s="632" t="s">
        <v>200</v>
      </c>
      <c r="Q12" s="161"/>
      <c r="S12" s="148"/>
      <c r="T12" s="147"/>
    </row>
    <row r="13" spans="1:23" s="141" customFormat="1" ht="13.8" x14ac:dyDescent="0.3">
      <c r="A13" s="109"/>
      <c r="C13" s="641" t="s">
        <v>31</v>
      </c>
      <c r="D13" s="635">
        <v>70</v>
      </c>
      <c r="E13" s="636">
        <v>72</v>
      </c>
      <c r="H13" s="629" t="s">
        <v>45</v>
      </c>
      <c r="I13" s="630">
        <v>-161</v>
      </c>
      <c r="J13" s="631">
        <f>I13-E16</f>
        <v>-261</v>
      </c>
      <c r="K13" s="9"/>
      <c r="L13" s="161"/>
      <c r="M13" s="7"/>
      <c r="N13" s="644" t="s">
        <v>36</v>
      </c>
      <c r="O13" s="638">
        <f>J17-I17</f>
        <v>72</v>
      </c>
      <c r="P13" s="645" t="s">
        <v>62</v>
      </c>
      <c r="Q13" s="161"/>
      <c r="S13" s="148"/>
      <c r="T13" s="147"/>
    </row>
    <row r="14" spans="1:23" s="141" customFormat="1" ht="13.8" x14ac:dyDescent="0.3">
      <c r="A14" s="109"/>
      <c r="C14" s="626" t="s">
        <v>32</v>
      </c>
      <c r="D14" s="627">
        <v>180</v>
      </c>
      <c r="E14" s="628">
        <v>165</v>
      </c>
      <c r="H14" s="646" t="s">
        <v>5</v>
      </c>
      <c r="I14" s="638">
        <f>SUM(I12:I13)</f>
        <v>1684</v>
      </c>
      <c r="J14" s="639">
        <f>SUM(J12:J13)</f>
        <v>1839</v>
      </c>
      <c r="L14" s="161"/>
      <c r="M14" s="147"/>
      <c r="N14" s="642" t="s">
        <v>40</v>
      </c>
      <c r="O14" s="630">
        <f>SUM(O8:O13)</f>
        <v>700.64342857142856</v>
      </c>
      <c r="P14" s="632"/>
      <c r="Q14" s="161"/>
      <c r="S14" s="148"/>
      <c r="T14" s="147"/>
    </row>
    <row r="15" spans="1:23" s="141" customFormat="1" ht="13.8" x14ac:dyDescent="0.3">
      <c r="A15" s="109"/>
      <c r="C15" s="634" t="s">
        <v>88</v>
      </c>
      <c r="D15" s="635">
        <f>SUM(D11:D14)</f>
        <v>2515</v>
      </c>
      <c r="E15" s="636">
        <f>SUM(E11:E14)</f>
        <v>2502</v>
      </c>
      <c r="F15" s="163"/>
      <c r="H15" s="642" t="s">
        <v>52</v>
      </c>
      <c r="I15" s="630">
        <f>I11+I14</f>
        <v>6580</v>
      </c>
      <c r="J15" s="631">
        <f>J11+J14</f>
        <v>6884.6434285714286</v>
      </c>
      <c r="K15" s="145"/>
      <c r="L15" s="149"/>
      <c r="M15" s="8"/>
      <c r="N15" s="637" t="s">
        <v>25</v>
      </c>
      <c r="O15" s="638">
        <f>I12-J12</f>
        <v>-255</v>
      </c>
      <c r="P15" s="645" t="s">
        <v>64</v>
      </c>
      <c r="Q15" s="149"/>
      <c r="S15" s="148"/>
      <c r="T15" s="147"/>
    </row>
    <row r="16" spans="1:23" s="141" customFormat="1" ht="13.8" x14ac:dyDescent="0.3">
      <c r="A16" s="109"/>
      <c r="C16" s="626" t="s">
        <v>24</v>
      </c>
      <c r="D16" s="627">
        <v>115</v>
      </c>
      <c r="E16" s="628">
        <v>100</v>
      </c>
      <c r="F16" s="9"/>
      <c r="H16" s="642"/>
      <c r="I16" s="630"/>
      <c r="J16" s="631"/>
      <c r="L16" s="161"/>
      <c r="N16" s="647" t="s">
        <v>42</v>
      </c>
      <c r="O16" s="648">
        <f>SUM(O15)</f>
        <v>-255</v>
      </c>
      <c r="P16" s="632"/>
      <c r="Q16" s="161"/>
      <c r="S16" s="148"/>
      <c r="T16" s="147"/>
    </row>
    <row r="17" spans="1:24" s="141" customFormat="1" ht="13.8" x14ac:dyDescent="0.3">
      <c r="A17" s="109"/>
      <c r="C17" s="634" t="s">
        <v>4</v>
      </c>
      <c r="D17" s="635">
        <f>D10-D15-D16</f>
        <v>1070</v>
      </c>
      <c r="E17" s="636">
        <f>E10-E15-E16</f>
        <v>1208</v>
      </c>
      <c r="F17" s="163"/>
      <c r="H17" s="629" t="s">
        <v>14</v>
      </c>
      <c r="I17" s="630">
        <v>180</v>
      </c>
      <c r="J17" s="631">
        <v>252</v>
      </c>
      <c r="K17" s="41"/>
      <c r="L17" s="161"/>
      <c r="M17" s="2"/>
      <c r="N17" s="629" t="s">
        <v>74</v>
      </c>
      <c r="O17" s="630">
        <f>J18-I18</f>
        <v>50</v>
      </c>
      <c r="P17" s="632" t="s">
        <v>196</v>
      </c>
      <c r="Q17" s="161"/>
      <c r="S17" s="148"/>
      <c r="T17" s="147"/>
    </row>
    <row r="18" spans="1:24" s="141" customFormat="1" ht="13.8" x14ac:dyDescent="0.3">
      <c r="A18" s="109"/>
      <c r="C18" s="641" t="s">
        <v>34</v>
      </c>
      <c r="D18" s="635">
        <f>Financials!$T$8*I18+$T$9*I20</f>
        <v>170.03714285714281</v>
      </c>
      <c r="E18" s="636">
        <f>Financials!$T$8*J18+$T$9*J20</f>
        <v>153.59428571428569</v>
      </c>
      <c r="H18" s="637" t="s">
        <v>75</v>
      </c>
      <c r="I18" s="638">
        <v>800</v>
      </c>
      <c r="J18" s="639">
        <v>850</v>
      </c>
      <c r="K18" s="42"/>
      <c r="L18" s="161"/>
      <c r="M18" s="10"/>
      <c r="N18" s="629" t="s">
        <v>66</v>
      </c>
      <c r="O18" s="630">
        <f>J20-I20</f>
        <v>-300</v>
      </c>
      <c r="P18" s="632" t="s">
        <v>197</v>
      </c>
      <c r="Q18" s="161"/>
      <c r="S18" s="148"/>
      <c r="T18" s="147"/>
    </row>
    <row r="19" spans="1:24" s="141" customFormat="1" ht="13.8" x14ac:dyDescent="0.3">
      <c r="A19" s="109"/>
      <c r="C19" s="626" t="s">
        <v>33</v>
      </c>
      <c r="D19" s="627">
        <f>0.4*(D17-D18)</f>
        <v>359.98514285714288</v>
      </c>
      <c r="E19" s="628">
        <f>0.4*(E17-E18)</f>
        <v>421.76228571428578</v>
      </c>
      <c r="H19" s="642" t="s">
        <v>8</v>
      </c>
      <c r="I19" s="630">
        <f>SUM(I17:I18)</f>
        <v>980</v>
      </c>
      <c r="J19" s="631">
        <f>SUM(J17:J18)</f>
        <v>1102</v>
      </c>
      <c r="K19" s="145"/>
      <c r="L19" s="161"/>
      <c r="M19" s="11"/>
      <c r="N19" s="629" t="s">
        <v>225</v>
      </c>
      <c r="O19" s="630">
        <f>J23-I23</f>
        <v>0</v>
      </c>
      <c r="P19" s="632" t="s">
        <v>198</v>
      </c>
      <c r="Q19" s="161"/>
      <c r="S19" s="148"/>
      <c r="T19" s="147"/>
      <c r="W19" s="111"/>
      <c r="X19" s="111"/>
    </row>
    <row r="20" spans="1:24" s="141" customFormat="1" ht="13.8" x14ac:dyDescent="0.3">
      <c r="A20" s="109"/>
      <c r="C20" s="634" t="s">
        <v>1</v>
      </c>
      <c r="D20" s="635">
        <f>D17-D18-D19</f>
        <v>539.97771428571423</v>
      </c>
      <c r="E20" s="636">
        <f>E17-E18-E19</f>
        <v>632.64342857142856</v>
      </c>
      <c r="F20" s="12"/>
      <c r="H20" s="649" t="s">
        <v>76</v>
      </c>
      <c r="I20" s="638">
        <v>2100</v>
      </c>
      <c r="J20" s="639">
        <v>1800</v>
      </c>
      <c r="K20" s="43"/>
      <c r="L20" s="161"/>
      <c r="M20" s="13"/>
      <c r="N20" s="629" t="s">
        <v>226</v>
      </c>
      <c r="O20" s="630">
        <f>J24-I24</f>
        <v>0</v>
      </c>
      <c r="P20" s="632" t="s">
        <v>198</v>
      </c>
      <c r="Q20" s="161"/>
      <c r="S20" s="148"/>
      <c r="T20" s="147"/>
      <c r="W20" s="111"/>
      <c r="X20" s="111"/>
    </row>
    <row r="21" spans="1:24" s="141" customFormat="1" ht="13.8" x14ac:dyDescent="0.3">
      <c r="A21" s="109"/>
      <c r="C21" s="650" t="s">
        <v>22</v>
      </c>
      <c r="D21" s="651">
        <v>150</v>
      </c>
      <c r="E21" s="652">
        <v>150</v>
      </c>
      <c r="F21" s="14"/>
      <c r="H21" s="642" t="s">
        <v>53</v>
      </c>
      <c r="I21" s="630">
        <f>SUM(I19:I20)</f>
        <v>3080</v>
      </c>
      <c r="J21" s="631">
        <f>SUM(J19:J20)</f>
        <v>2902</v>
      </c>
      <c r="L21" s="161"/>
      <c r="M21" s="15"/>
      <c r="N21" s="637" t="s">
        <v>22</v>
      </c>
      <c r="O21" s="638">
        <f>-E21</f>
        <v>-150</v>
      </c>
      <c r="P21" s="645" t="s">
        <v>199</v>
      </c>
      <c r="Q21" s="161"/>
      <c r="S21" s="148"/>
      <c r="T21" s="147"/>
      <c r="W21" s="111"/>
      <c r="X21" s="111"/>
    </row>
    <row r="22" spans="1:24" s="141" customFormat="1" ht="13.8" x14ac:dyDescent="0.3">
      <c r="A22" s="109"/>
      <c r="C22" s="147"/>
      <c r="D22" s="142"/>
      <c r="E22" s="142"/>
      <c r="H22" s="642"/>
      <c r="I22" s="630"/>
      <c r="J22" s="631"/>
      <c r="L22" s="161"/>
      <c r="N22" s="647" t="s">
        <v>41</v>
      </c>
      <c r="O22" s="648">
        <f>SUM(O17:O21)</f>
        <v>-400</v>
      </c>
      <c r="P22" s="632"/>
      <c r="Q22" s="161"/>
      <c r="S22" s="148"/>
      <c r="T22" s="147"/>
      <c r="W22" s="111"/>
      <c r="X22" s="111"/>
    </row>
    <row r="23" spans="1:24" s="141" customFormat="1" ht="13.8" x14ac:dyDescent="0.3">
      <c r="A23" s="109"/>
      <c r="D23" s="142"/>
      <c r="E23" s="142"/>
      <c r="H23" s="653" t="s">
        <v>80</v>
      </c>
      <c r="I23" s="630">
        <v>500</v>
      </c>
      <c r="J23" s="631">
        <v>500</v>
      </c>
      <c r="K23" s="44"/>
      <c r="L23" s="161"/>
      <c r="N23" s="654" t="s">
        <v>188</v>
      </c>
      <c r="O23" s="630">
        <f>SUM(O14,O16,O22)</f>
        <v>45.643428571428558</v>
      </c>
      <c r="P23" s="655"/>
      <c r="Q23" s="161"/>
      <c r="S23" s="148"/>
      <c r="T23" s="147"/>
      <c r="W23" s="109"/>
      <c r="X23" s="162"/>
    </row>
    <row r="24" spans="1:24" s="141" customFormat="1" ht="13.8" x14ac:dyDescent="0.3">
      <c r="A24" s="109"/>
      <c r="D24" s="142"/>
      <c r="E24" s="142"/>
      <c r="H24" s="629" t="s">
        <v>12</v>
      </c>
      <c r="I24" s="630">
        <v>1600</v>
      </c>
      <c r="J24" s="631">
        <v>1600</v>
      </c>
      <c r="K24" s="45"/>
      <c r="L24" s="161"/>
      <c r="M24" s="16"/>
      <c r="N24" s="656" t="str">
        <f>"∆ Balance: "&amp;TEXT(J8,"0,000")&amp;" - "&amp;TEXT(I8,"0,000")</f>
        <v>∆ Balance: 3,241 - 3,195</v>
      </c>
      <c r="O24" s="657">
        <f>J8-I8</f>
        <v>45.643428571428558</v>
      </c>
      <c r="P24" s="658"/>
      <c r="Q24" s="161"/>
      <c r="S24" s="148"/>
      <c r="T24" s="147"/>
    </row>
    <row r="25" spans="1:24" s="141" customFormat="1" ht="13.8" x14ac:dyDescent="0.3">
      <c r="A25" s="109"/>
      <c r="D25" s="142"/>
      <c r="E25" s="142"/>
      <c r="F25" s="163"/>
      <c r="H25" s="637" t="s">
        <v>18</v>
      </c>
      <c r="I25" s="638">
        <v>1400</v>
      </c>
      <c r="J25" s="639">
        <f>E20-E21+I25</f>
        <v>1882.6434285714286</v>
      </c>
      <c r="K25" s="14"/>
      <c r="L25" s="161"/>
      <c r="O25" s="142"/>
      <c r="P25" s="147"/>
      <c r="Q25" s="161"/>
      <c r="S25" s="148"/>
      <c r="T25" s="147"/>
    </row>
    <row r="26" spans="1:24" s="141" customFormat="1" ht="13.8" x14ac:dyDescent="0.3">
      <c r="A26" s="109"/>
      <c r="D26" s="142"/>
      <c r="E26" s="143"/>
      <c r="F26" s="144"/>
      <c r="G26" s="144"/>
      <c r="H26" s="642" t="s">
        <v>54</v>
      </c>
      <c r="I26" s="630">
        <f>SUM(I23:I25)</f>
        <v>3500</v>
      </c>
      <c r="J26" s="631">
        <f>SUM(J23:J25)</f>
        <v>3982.6434285714286</v>
      </c>
      <c r="K26" s="145"/>
      <c r="L26" s="146"/>
      <c r="O26" s="142"/>
      <c r="P26" s="147"/>
      <c r="Q26" s="146"/>
      <c r="S26" s="148"/>
      <c r="T26" s="147"/>
    </row>
    <row r="27" spans="1:24" s="141" customFormat="1" ht="13.8" x14ac:dyDescent="0.3">
      <c r="A27" s="109"/>
      <c r="D27" s="142"/>
      <c r="E27" s="142"/>
      <c r="H27" s="659" t="s">
        <v>55</v>
      </c>
      <c r="I27" s="657">
        <f>SUM(I21,I26)</f>
        <v>6580</v>
      </c>
      <c r="J27" s="660">
        <f>SUM(J21,J26)</f>
        <v>6884.6434285714286</v>
      </c>
      <c r="K27" s="145"/>
      <c r="L27" s="149"/>
      <c r="O27" s="142"/>
      <c r="P27" s="147"/>
      <c r="Q27" s="149"/>
      <c r="S27" s="148"/>
      <c r="T27" s="147"/>
    </row>
    <row r="28" spans="1:24" x14ac:dyDescent="0.3">
      <c r="F28" s="89"/>
    </row>
    <row r="29" spans="1:24" x14ac:dyDescent="0.3">
      <c r="F29" s="89"/>
      <c r="K29" s="89"/>
    </row>
    <row r="30" spans="1:24" x14ac:dyDescent="0.3">
      <c r="I30" s="151"/>
    </row>
    <row r="31" spans="1:24" x14ac:dyDescent="0.3">
      <c r="I31" s="151"/>
      <c r="K31" s="150"/>
    </row>
    <row r="32" spans="1:24" s="156" customFormat="1" x14ac:dyDescent="0.3">
      <c r="A32" s="155"/>
      <c r="D32" s="157"/>
      <c r="E32" s="157"/>
      <c r="G32" s="150"/>
      <c r="I32" s="157"/>
      <c r="J32" s="157"/>
      <c r="L32" s="152"/>
      <c r="O32" s="157"/>
      <c r="P32" s="158"/>
      <c r="Q32" s="152"/>
      <c r="T32" s="158"/>
    </row>
    <row r="33" spans="3:11" x14ac:dyDescent="0.3">
      <c r="C33" s="156"/>
      <c r="D33" s="157"/>
      <c r="E33" s="157"/>
      <c r="F33" s="159"/>
      <c r="H33" s="156"/>
      <c r="I33" s="157"/>
      <c r="J33" s="157"/>
      <c r="K33" s="159"/>
    </row>
    <row r="34" spans="3:11" x14ac:dyDescent="0.3">
      <c r="J34" s="88"/>
      <c r="K34" s="150"/>
    </row>
    <row r="35" spans="3:11" x14ac:dyDescent="0.3">
      <c r="I35" s="160"/>
      <c r="J35" s="88"/>
      <c r="K35" s="150"/>
    </row>
    <row r="36" spans="3:11" x14ac:dyDescent="0.3">
      <c r="F36" s="89"/>
      <c r="J36" s="88"/>
      <c r="K36" s="150"/>
    </row>
    <row r="37" spans="3:11" x14ac:dyDescent="0.3">
      <c r="F37" s="89"/>
      <c r="I37" s="160"/>
    </row>
    <row r="38" spans="3:11" x14ac:dyDescent="0.3">
      <c r="F38" s="89"/>
      <c r="I38" s="160"/>
    </row>
    <row r="39" spans="3:11" x14ac:dyDescent="0.3">
      <c r="F39" s="89"/>
      <c r="I39" s="160"/>
    </row>
    <row r="40" spans="3:11" x14ac:dyDescent="0.3">
      <c r="F40" s="89"/>
      <c r="I40" s="160"/>
    </row>
    <row r="41" spans="3:11" x14ac:dyDescent="0.3">
      <c r="F41" s="89"/>
      <c r="I41" s="160"/>
    </row>
    <row r="42" spans="3:11" x14ac:dyDescent="0.3">
      <c r="F42" s="89"/>
      <c r="I42" s="160"/>
    </row>
    <row r="43" spans="3:11" x14ac:dyDescent="0.3">
      <c r="F43" s="89"/>
      <c r="I43" s="160"/>
    </row>
    <row r="44" spans="3:11" x14ac:dyDescent="0.3">
      <c r="I44" s="160"/>
    </row>
    <row r="45" spans="3:11" x14ac:dyDescent="0.3">
      <c r="I45" s="160"/>
    </row>
    <row r="46" spans="3:11" x14ac:dyDescent="0.3">
      <c r="I46" s="160"/>
    </row>
    <row r="47" spans="3:11" x14ac:dyDescent="0.3">
      <c r="I47" s="160"/>
    </row>
    <row r="48" spans="3:11" x14ac:dyDescent="0.3">
      <c r="I48" s="160"/>
    </row>
  </sheetData>
  <sheetProtection algorithmName="SHA-512" hashValue="FYVUXZNIRoTZ5S/uX2AHAasNHnhkBvyioNXepWWII5qFzZFBg56YZHP+8mcdy7FQkEzhgpKE5gqO3Jq+YE/xiw==" saltValue="VZ3vpFH/4Rw0N90sABat7A==" spinCount="100000" sheet="1" objects="1" scenarios="1" selectLockedCells="1" selectUnlockedCells="1"/>
  <mergeCells count="1">
    <mergeCell ref="R3:T3"/>
  </mergeCells>
  <conditionalFormatting sqref="K15:L15 K27:L27">
    <cfRule type="expression" dxfId="6" priority="1">
      <formula>IF(K15=_xlfn.UNICHAR(10006),TRUE,FALSE)</formula>
    </cfRule>
  </conditionalFormatting>
  <conditionalFormatting sqref="P24 R24">
    <cfRule type="expression" dxfId="5" priority="7">
      <formula>IF(P24=_xlfn.UNICHAR(10006),TRUE,FALSE)</formula>
    </cfRule>
  </conditionalFormatting>
  <conditionalFormatting sqref="Q15:R15">
    <cfRule type="expression" dxfId="4" priority="3">
      <formula>IF(Q15=_xlfn.UNICHAR(10006),TRUE,FALSE)</formula>
    </cfRule>
  </conditionalFormatting>
  <conditionalFormatting sqref="Q27:R27">
    <cfRule type="expression" dxfId="3" priority="4">
      <formula>IF(Q27=_xlfn.UNICHAR(10006),TRUE,FALSE)</formula>
    </cfRule>
  </conditionalFormatting>
  <printOptions horizontalCentered="1"/>
  <pageMargins left="0.5" right="0.5" top="0.75" bottom="0.5" header="0.5" footer="0.5"/>
  <pageSetup orientation="landscape" r:id="rId1"/>
  <headerFooter scaleWithDoc="0" alignWithMargins="0">
    <oddFooter>&amp;LFinancial Statement Analysis&amp;RPage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FC3D-ACCF-418F-8B77-7CDC7CD07E2B}">
  <sheetPr codeName="Sheet3">
    <tabColor rgb="FFC5D9F1"/>
    <pageSetUpPr fitToPage="1"/>
  </sheetPr>
  <dimension ref="A1:AN24"/>
  <sheetViews>
    <sheetView showGridLines="0" showRowColHeaders="0" zoomScaleNormal="100" zoomScaleSheetLayoutView="100" workbookViewId="0"/>
  </sheetViews>
  <sheetFormatPr defaultRowHeight="15.6" x14ac:dyDescent="0.3"/>
  <cols>
    <col min="1" max="1" width="3.109375" style="184" customWidth="1"/>
    <col min="2" max="2" width="5.5546875" style="208" customWidth="1"/>
    <col min="3" max="3" width="12" style="213" customWidth="1"/>
    <col min="4" max="5" width="13.88671875" style="209" customWidth="1"/>
    <col min="6" max="6" width="5.44140625" style="209" customWidth="1"/>
    <col min="7" max="7" width="13.88671875" style="209" customWidth="1"/>
    <col min="8" max="8" width="13.88671875" style="210" customWidth="1"/>
    <col min="9" max="9" width="1.109375" style="209" customWidth="1"/>
    <col min="10" max="10" width="13.88671875" style="211" customWidth="1"/>
    <col min="11" max="11" width="8" style="211" customWidth="1"/>
    <col min="12" max="12" width="22.21875" style="209" bestFit="1" customWidth="1"/>
    <col min="13" max="13" width="15" style="212" customWidth="1"/>
    <col min="14" max="14" width="11.88671875" style="209" bestFit="1" customWidth="1"/>
    <col min="15" max="16384" width="8.88671875" style="210"/>
  </cols>
  <sheetData>
    <row r="1" spans="1:40" s="67" customFormat="1" ht="8.4" customHeight="1" x14ac:dyDescent="0.2">
      <c r="A1" s="885" t="s">
        <v>59</v>
      </c>
      <c r="E1" s="68"/>
      <c r="H1" s="167"/>
      <c r="W1" s="69"/>
    </row>
    <row r="2" spans="1:40" s="168" customFormat="1" ht="23.4" x14ac:dyDescent="0.45">
      <c r="A2" s="70"/>
      <c r="C2" s="71" t="s">
        <v>0</v>
      </c>
      <c r="E2" s="290"/>
      <c r="F2" s="73"/>
      <c r="G2" s="71"/>
      <c r="H2" s="71"/>
      <c r="O2" s="70"/>
    </row>
    <row r="3" spans="1:40" s="227" customFormat="1" ht="18" x14ac:dyDescent="0.35">
      <c r="A3" s="75"/>
      <c r="B3" s="77"/>
      <c r="C3" s="226" t="s">
        <v>115</v>
      </c>
      <c r="F3" s="179"/>
      <c r="H3" s="172"/>
      <c r="L3" s="883"/>
      <c r="M3" s="883"/>
      <c r="N3" s="883"/>
      <c r="O3" s="75"/>
      <c r="S3" s="172"/>
      <c r="T3" s="172"/>
      <c r="U3" s="172"/>
    </row>
    <row r="4" spans="1:40" s="85" customFormat="1" ht="14.4" x14ac:dyDescent="0.3">
      <c r="A4" s="81"/>
      <c r="C4" s="82"/>
      <c r="D4" s="83"/>
      <c r="E4" s="83"/>
      <c r="F4" s="83"/>
      <c r="G4" s="84"/>
      <c r="H4" s="83"/>
      <c r="I4" s="83"/>
      <c r="K4" s="83"/>
      <c r="L4" s="181"/>
      <c r="M4" s="83"/>
      <c r="N4" s="84"/>
    </row>
    <row r="5" spans="1:40" s="86" customFormat="1" x14ac:dyDescent="0.3">
      <c r="A5" s="228"/>
      <c r="C5" s="86" t="s">
        <v>244</v>
      </c>
      <c r="G5" s="229"/>
      <c r="O5" s="228"/>
    </row>
    <row r="6" spans="1:40" s="85" customFormat="1" ht="9.6" customHeight="1" x14ac:dyDescent="0.3">
      <c r="A6" s="81"/>
      <c r="F6" s="89"/>
      <c r="H6" s="90"/>
      <c r="I6" s="91"/>
      <c r="J6" s="90"/>
      <c r="N6" s="88"/>
      <c r="P6" s="91"/>
      <c r="Q6" s="90"/>
      <c r="T6" s="88"/>
      <c r="U6" s="83"/>
      <c r="V6" s="230"/>
    </row>
    <row r="7" spans="1:40" s="232" customFormat="1" ht="14.4" x14ac:dyDescent="0.3">
      <c r="A7" s="81"/>
      <c r="B7" s="231"/>
      <c r="C7" s="232" t="s">
        <v>257</v>
      </c>
      <c r="E7" s="233"/>
      <c r="G7" s="233"/>
      <c r="N7" s="234"/>
      <c r="O7" s="235"/>
      <c r="R7" s="233"/>
      <c r="S7" s="236"/>
      <c r="U7" s="233"/>
      <c r="Z7" s="233"/>
      <c r="AA7" s="235"/>
      <c r="AB7" s="233"/>
      <c r="AC7" s="233"/>
      <c r="AH7" s="235" t="s">
        <v>170</v>
      </c>
      <c r="AI7" s="233" t="s">
        <v>171</v>
      </c>
      <c r="AJ7" s="233" t="s">
        <v>172</v>
      </c>
      <c r="AK7" s="233" t="s">
        <v>173</v>
      </c>
      <c r="AL7" s="233" t="s">
        <v>174</v>
      </c>
      <c r="AM7" s="233" t="s">
        <v>175</v>
      </c>
      <c r="AN7" s="233"/>
    </row>
    <row r="8" spans="1:40" s="232" customFormat="1" ht="14.4" x14ac:dyDescent="0.3">
      <c r="A8" s="81"/>
      <c r="B8" s="231"/>
      <c r="C8" s="237" t="s">
        <v>258</v>
      </c>
      <c r="E8" s="233"/>
      <c r="G8" s="233"/>
      <c r="P8" s="233"/>
      <c r="R8" s="233"/>
      <c r="S8" s="236"/>
      <c r="U8" s="233"/>
      <c r="Z8" s="233"/>
      <c r="AA8" s="235"/>
      <c r="AB8" s="233"/>
      <c r="AC8" s="233"/>
      <c r="AH8" s="235"/>
      <c r="AI8" s="233"/>
      <c r="AJ8" s="233"/>
      <c r="AK8" s="233"/>
      <c r="AL8" s="233"/>
      <c r="AM8" s="233"/>
      <c r="AN8" s="233"/>
    </row>
    <row r="9" spans="1:40" s="232" customFormat="1" ht="14.4" x14ac:dyDescent="0.3">
      <c r="A9" s="81"/>
      <c r="B9" s="231"/>
      <c r="C9" s="238" t="s">
        <v>259</v>
      </c>
      <c r="E9" s="233"/>
      <c r="G9" s="233"/>
      <c r="P9" s="233"/>
      <c r="R9" s="233"/>
      <c r="S9" s="236"/>
      <c r="U9" s="233"/>
      <c r="Z9" s="233"/>
      <c r="AA9" s="235"/>
      <c r="AB9" s="233"/>
      <c r="AC9" s="233"/>
      <c r="AH9" s="235"/>
      <c r="AI9" s="233"/>
      <c r="AJ9" s="233"/>
      <c r="AK9" s="233"/>
      <c r="AL9" s="233"/>
      <c r="AM9" s="233"/>
      <c r="AN9" s="233"/>
    </row>
    <row r="10" spans="1:40" s="111" customFormat="1" ht="21" customHeight="1" x14ac:dyDescent="0.3">
      <c r="A10" s="109"/>
      <c r="F10" s="141"/>
      <c r="H10" s="195"/>
      <c r="I10" s="239"/>
      <c r="J10" s="195"/>
      <c r="P10" s="239"/>
      <c r="Q10" s="195"/>
      <c r="T10" s="142"/>
      <c r="U10" s="145"/>
      <c r="V10" s="240"/>
    </row>
    <row r="11" spans="1:40" s="207" customFormat="1" ht="18" x14ac:dyDescent="0.3">
      <c r="A11" s="200"/>
      <c r="B11" s="241"/>
      <c r="C11" s="242"/>
      <c r="D11" s="899" t="s">
        <v>2</v>
      </c>
      <c r="E11" s="899"/>
      <c r="F11" s="243"/>
      <c r="G11" s="900" t="s">
        <v>167</v>
      </c>
      <c r="H11" s="900"/>
      <c r="I11" s="244"/>
      <c r="J11" s="245" t="s">
        <v>23</v>
      </c>
      <c r="K11" s="246"/>
      <c r="L11" s="247"/>
      <c r="M11" s="205"/>
      <c r="N11" s="205"/>
      <c r="O11" s="205"/>
    </row>
    <row r="12" spans="1:40" s="214" customFormat="1" ht="25.2" customHeight="1" x14ac:dyDescent="0.3">
      <c r="A12" s="216"/>
      <c r="B12" s="217"/>
      <c r="C12" s="218" t="s">
        <v>161</v>
      </c>
      <c r="D12" s="903" t="s">
        <v>67</v>
      </c>
      <c r="E12" s="904"/>
      <c r="F12" s="206"/>
      <c r="G12" s="901" t="s">
        <v>111</v>
      </c>
      <c r="H12" s="902"/>
      <c r="I12" s="215"/>
      <c r="J12" s="17" t="s">
        <v>111</v>
      </c>
      <c r="K12" s="203"/>
      <c r="N12" s="203"/>
    </row>
    <row r="13" spans="1:40" s="85" customFormat="1" ht="3.6" customHeight="1" x14ac:dyDescent="0.3">
      <c r="A13" s="81"/>
      <c r="C13" s="195"/>
      <c r="D13" s="83"/>
      <c r="E13" s="83"/>
      <c r="F13" s="83"/>
      <c r="G13" s="84"/>
      <c r="H13" s="83"/>
      <c r="I13" s="83"/>
      <c r="K13" s="83"/>
      <c r="L13" s="181"/>
      <c r="M13" s="83"/>
      <c r="N13" s="84"/>
      <c r="P13" s="183"/>
    </row>
    <row r="14" spans="1:40" s="85" customFormat="1" ht="14.4" x14ac:dyDescent="0.3">
      <c r="A14" s="81"/>
      <c r="C14" s="195"/>
      <c r="D14" s="221" t="s">
        <v>206</v>
      </c>
      <c r="E14" s="221" t="s">
        <v>212</v>
      </c>
      <c r="F14" s="222"/>
      <c r="G14" s="223" t="s">
        <v>206</v>
      </c>
      <c r="H14" s="223" t="s">
        <v>213</v>
      </c>
      <c r="I14" s="222"/>
      <c r="J14" s="224" t="s">
        <v>214</v>
      </c>
      <c r="K14" s="145"/>
      <c r="L14" s="181"/>
      <c r="M14" s="181"/>
      <c r="N14" s="181"/>
    </row>
    <row r="15" spans="1:40" s="214" customFormat="1" ht="25.2" customHeight="1" x14ac:dyDescent="0.3">
      <c r="A15" s="216"/>
      <c r="B15" s="217"/>
      <c r="C15" s="218" t="s">
        <v>65</v>
      </c>
      <c r="D15" s="27" t="s">
        <v>221</v>
      </c>
      <c r="E15" s="28" t="s">
        <v>220</v>
      </c>
      <c r="F15" s="206"/>
      <c r="G15" s="18" t="s">
        <v>162</v>
      </c>
      <c r="H15" s="19" t="s">
        <v>58</v>
      </c>
      <c r="I15" s="215"/>
      <c r="J15" s="20" t="s">
        <v>58</v>
      </c>
      <c r="K15" s="203"/>
    </row>
    <row r="16" spans="1:40" s="214" customFormat="1" ht="25.2" customHeight="1" x14ac:dyDescent="0.3">
      <c r="A16" s="216"/>
      <c r="B16" s="217"/>
      <c r="C16" s="94" t="s">
        <v>163</v>
      </c>
      <c r="D16" s="29" t="s">
        <v>16</v>
      </c>
      <c r="E16" s="30" t="s">
        <v>164</v>
      </c>
      <c r="F16" s="220"/>
      <c r="G16" s="61" t="s">
        <v>166</v>
      </c>
      <c r="H16" s="62" t="s">
        <v>168</v>
      </c>
      <c r="I16" s="215"/>
      <c r="J16" s="21" t="s">
        <v>169</v>
      </c>
      <c r="K16" s="203"/>
      <c r="O16" s="217"/>
    </row>
    <row r="17" spans="1:16" s="85" customFormat="1" ht="7.2" customHeight="1" x14ac:dyDescent="0.3">
      <c r="A17" s="81"/>
      <c r="C17" s="195"/>
      <c r="D17" s="219"/>
      <c r="E17" s="219"/>
      <c r="F17" s="219"/>
      <c r="G17" s="219"/>
      <c r="H17" s="219"/>
      <c r="I17" s="219"/>
      <c r="J17" s="155"/>
      <c r="K17" s="83"/>
      <c r="L17" s="181"/>
      <c r="M17" s="83"/>
      <c r="N17" s="84"/>
      <c r="P17" s="183"/>
    </row>
    <row r="18" spans="1:16" s="214" customFormat="1" ht="25.2" customHeight="1" x14ac:dyDescent="0.3">
      <c r="A18" s="216"/>
      <c r="B18" s="217"/>
      <c r="C18" s="218" t="s">
        <v>160</v>
      </c>
      <c r="D18" s="27" t="s">
        <v>60</v>
      </c>
      <c r="E18" s="28" t="s">
        <v>61</v>
      </c>
      <c r="F18" s="206"/>
      <c r="G18" s="18" t="s">
        <v>60</v>
      </c>
      <c r="H18" s="19" t="s">
        <v>13</v>
      </c>
      <c r="I18" s="215"/>
      <c r="J18" s="20" t="s">
        <v>13</v>
      </c>
      <c r="K18" s="203"/>
      <c r="N18" s="203"/>
    </row>
    <row r="19" spans="1:16" s="214" customFormat="1" ht="25.2" customHeight="1" x14ac:dyDescent="0.3">
      <c r="A19" s="216"/>
      <c r="B19" s="217"/>
      <c r="C19" s="218" t="s">
        <v>165</v>
      </c>
      <c r="D19" s="31" t="s">
        <v>112</v>
      </c>
      <c r="E19" s="32" t="s">
        <v>113</v>
      </c>
      <c r="F19" s="206"/>
      <c r="G19" s="22" t="s">
        <v>112</v>
      </c>
      <c r="H19" s="23" t="s">
        <v>113</v>
      </c>
      <c r="I19" s="215"/>
      <c r="J19" s="24" t="s">
        <v>155</v>
      </c>
      <c r="K19" s="203"/>
      <c r="M19" s="141"/>
      <c r="N19" s="203"/>
    </row>
    <row r="20" spans="1:16" s="85" customFormat="1" ht="7.2" customHeight="1" x14ac:dyDescent="0.3">
      <c r="A20" s="81"/>
      <c r="C20" s="195"/>
      <c r="D20" s="219"/>
      <c r="E20" s="219"/>
      <c r="F20" s="219"/>
      <c r="G20" s="219"/>
      <c r="H20" s="219"/>
      <c r="I20" s="219"/>
      <c r="J20" s="155"/>
      <c r="K20" s="83"/>
      <c r="L20" s="181"/>
      <c r="M20" s="83"/>
      <c r="N20" s="84"/>
      <c r="P20" s="183"/>
    </row>
    <row r="21" spans="1:16" s="214" customFormat="1" ht="25.2" customHeight="1" x14ac:dyDescent="0.3">
      <c r="A21" s="216"/>
      <c r="B21" s="217"/>
      <c r="C21" s="218" t="s">
        <v>17</v>
      </c>
      <c r="D21" s="27" t="s">
        <v>13</v>
      </c>
      <c r="E21" s="28" t="s">
        <v>114</v>
      </c>
      <c r="F21" s="206"/>
      <c r="G21" s="18"/>
      <c r="H21" s="19"/>
      <c r="I21" s="215"/>
      <c r="J21" s="20"/>
      <c r="K21" s="203"/>
      <c r="N21" s="203"/>
    </row>
    <row r="22" spans="1:16" s="214" customFormat="1" ht="25.2" customHeight="1" x14ac:dyDescent="0.3">
      <c r="A22" s="216"/>
      <c r="B22" s="217"/>
      <c r="C22" s="218" t="s">
        <v>15</v>
      </c>
      <c r="D22" s="31"/>
      <c r="E22" s="32"/>
      <c r="F22" s="206"/>
      <c r="G22" s="22" t="s">
        <v>13</v>
      </c>
      <c r="H22" s="23" t="s">
        <v>13</v>
      </c>
      <c r="I22" s="215"/>
      <c r="J22" s="24" t="s">
        <v>114</v>
      </c>
      <c r="K22" s="203"/>
      <c r="N22" s="203"/>
    </row>
    <row r="23" spans="1:16" s="207" customFormat="1" x14ac:dyDescent="0.3">
      <c r="A23" s="200"/>
      <c r="B23" s="201"/>
      <c r="C23" s="201"/>
      <c r="D23" s="202"/>
      <c r="E23" s="203"/>
      <c r="F23" s="202"/>
      <c r="G23" s="202"/>
      <c r="H23" s="204"/>
      <c r="I23" s="205"/>
      <c r="J23" s="206"/>
      <c r="K23" s="206"/>
      <c r="L23" s="205"/>
      <c r="M23" s="205"/>
      <c r="N23" s="205"/>
    </row>
    <row r="24" spans="1:16" x14ac:dyDescent="0.3">
      <c r="C24" s="208"/>
    </row>
  </sheetData>
  <sheetProtection algorithmName="SHA-512" hashValue="yH1Mj+f/Jbt570u8AypftddZbEjOhn594pa0VHHA9KuU+WxMGa5HieMZBFQtHCPFgsevewMp6WVtodQ4qawbrg==" saltValue="fy4mTrQc5S37m0iqTxLjSQ==" spinCount="100000" sheet="1" objects="1" scenarios="1" selectLockedCells="1" selectUnlockedCells="1"/>
  <mergeCells count="4">
    <mergeCell ref="D11:E11"/>
    <mergeCell ref="G11:H11"/>
    <mergeCell ref="G12:H12"/>
    <mergeCell ref="D12:E12"/>
  </mergeCells>
  <printOptions horizontalCentered="1"/>
  <pageMargins left="0.5" right="0.5" top="0.75" bottom="0.5" header="0.3" footer="0.3"/>
  <pageSetup orientation="landscape" r:id="rId1"/>
  <headerFooter scaleWithDoc="0" alignWithMargins="0">
    <oddFooter>&amp;LBalance Sheet Fundamentals&amp;RPage &amp;P of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EDC7-D34B-472E-B339-5A428D6263D3}">
  <sheetPr codeName="Sheet4">
    <tabColor rgb="FFC5D9F1"/>
    <pageSetUpPr fitToPage="1"/>
  </sheetPr>
  <dimension ref="A1:W42"/>
  <sheetViews>
    <sheetView showGridLines="0" showRowColHeaders="0" zoomScaleNormal="100" zoomScaleSheetLayoutView="70" workbookViewId="0"/>
  </sheetViews>
  <sheetFormatPr defaultColWidth="11.5546875" defaultRowHeight="14.4" x14ac:dyDescent="0.3"/>
  <cols>
    <col min="1" max="1" width="3.109375" style="81" customWidth="1"/>
    <col min="2" max="2" width="5.5546875" style="89" customWidth="1"/>
    <col min="3" max="3" width="15.5546875" style="89" customWidth="1"/>
    <col min="4" max="5" width="7.109375" style="87" customWidth="1"/>
    <col min="6" max="6" width="6.6640625" style="257" customWidth="1"/>
    <col min="7" max="7" width="9.6640625" style="89" customWidth="1"/>
    <col min="8" max="8" width="5.5546875" style="89" customWidth="1"/>
    <col min="9" max="9" width="17.6640625" style="89" bestFit="1" customWidth="1"/>
    <col min="10" max="11" width="7.33203125" style="88" bestFit="1" customWidth="1"/>
    <col min="12" max="12" width="7" style="88" customWidth="1"/>
    <col min="13" max="13" width="9.77734375" style="85" customWidth="1"/>
    <col min="14" max="14" width="5.5546875" style="89" customWidth="1"/>
    <col min="15" max="15" width="21.109375" style="89" bestFit="1" customWidth="1"/>
    <col min="16" max="16" width="5.88671875" style="87" bestFit="1" customWidth="1"/>
    <col min="17" max="17" width="6.33203125" style="88" customWidth="1"/>
    <col min="18" max="18" width="7.109375" style="88" customWidth="1"/>
    <col min="19" max="19" width="5.5546875" style="89" customWidth="1"/>
    <col min="20" max="20" width="14.109375" style="85" customWidth="1"/>
    <col min="21" max="21" width="6.33203125" style="88" customWidth="1"/>
    <col min="22" max="22" width="7.6640625" style="89" customWidth="1"/>
    <col min="23" max="16384" width="11.5546875" style="89"/>
  </cols>
  <sheetData>
    <row r="1" spans="1:23" s="67" customFormat="1" ht="8.4" customHeight="1" x14ac:dyDescent="0.2">
      <c r="A1" s="885" t="s">
        <v>59</v>
      </c>
      <c r="E1" s="68"/>
      <c r="H1" s="167"/>
      <c r="W1" s="69"/>
    </row>
    <row r="2" spans="1:23" s="168" customFormat="1" ht="23.4" x14ac:dyDescent="0.45">
      <c r="A2" s="70"/>
      <c r="C2" s="71" t="s">
        <v>211</v>
      </c>
      <c r="D2" s="290"/>
      <c r="E2" s="290"/>
      <c r="F2" s="290"/>
      <c r="G2" s="73"/>
      <c r="H2" s="71"/>
      <c r="I2" s="71"/>
      <c r="J2" s="71"/>
      <c r="K2" s="72"/>
      <c r="L2" s="169"/>
      <c r="M2" s="225"/>
      <c r="P2" s="290"/>
      <c r="Q2" s="169"/>
      <c r="R2" s="169"/>
      <c r="T2" s="225"/>
      <c r="U2" s="169"/>
    </row>
    <row r="3" spans="1:23" s="227" customFormat="1" ht="18" x14ac:dyDescent="0.35">
      <c r="A3" s="75"/>
      <c r="B3" s="77"/>
      <c r="C3" s="226" t="s">
        <v>177</v>
      </c>
      <c r="D3" s="291"/>
      <c r="E3" s="291"/>
      <c r="F3" s="291"/>
      <c r="G3" s="292"/>
      <c r="I3" s="172"/>
      <c r="J3" s="174"/>
      <c r="K3" s="174"/>
      <c r="L3" s="174"/>
      <c r="M3" s="293"/>
      <c r="O3" s="172"/>
      <c r="P3" s="291"/>
      <c r="Q3" s="174"/>
      <c r="R3" s="174"/>
      <c r="S3" s="898"/>
      <c r="T3" s="898"/>
      <c r="U3" s="898"/>
    </row>
    <row r="4" spans="1:23" s="85" customFormat="1" x14ac:dyDescent="0.3">
      <c r="A4" s="81"/>
      <c r="C4" s="83"/>
      <c r="D4" s="181"/>
      <c r="E4" s="181"/>
      <c r="F4" s="181"/>
      <c r="G4" s="83"/>
      <c r="H4" s="83"/>
      <c r="I4" s="83"/>
      <c r="J4" s="180"/>
      <c r="L4" s="180"/>
      <c r="M4" s="84"/>
      <c r="N4" s="83"/>
      <c r="P4" s="87"/>
      <c r="Q4" s="88"/>
      <c r="R4" s="88"/>
      <c r="S4" s="83"/>
      <c r="U4" s="88"/>
    </row>
    <row r="5" spans="1:23" s="185" customFormat="1" ht="15.6" x14ac:dyDescent="0.3">
      <c r="A5" s="184"/>
      <c r="C5" s="86" t="s">
        <v>217</v>
      </c>
      <c r="D5" s="294"/>
      <c r="E5" s="294"/>
      <c r="F5" s="294"/>
      <c r="G5" s="86"/>
      <c r="H5" s="86"/>
      <c r="I5" s="86"/>
      <c r="J5" s="186"/>
      <c r="K5" s="186"/>
      <c r="L5" s="186"/>
      <c r="M5" s="229"/>
      <c r="N5" s="86"/>
      <c r="P5" s="295"/>
      <c r="Q5" s="189"/>
      <c r="R5" s="189"/>
      <c r="S5" s="86"/>
      <c r="U5" s="189"/>
    </row>
    <row r="6" spans="1:23" s="111" customFormat="1" ht="13.8" x14ac:dyDescent="0.3">
      <c r="A6" s="109"/>
      <c r="C6" s="111" t="s">
        <v>243</v>
      </c>
      <c r="D6" s="296"/>
      <c r="E6" s="296"/>
      <c r="F6" s="296"/>
      <c r="G6" s="145"/>
      <c r="H6" s="145"/>
      <c r="I6" s="145"/>
      <c r="J6" s="143"/>
      <c r="K6" s="143"/>
      <c r="L6" s="143"/>
      <c r="M6" s="144"/>
      <c r="N6" s="145"/>
      <c r="P6" s="256"/>
      <c r="Q6" s="142"/>
      <c r="R6" s="142"/>
      <c r="S6" s="145"/>
      <c r="U6" s="142"/>
    </row>
    <row r="7" spans="1:23" s="111" customFormat="1" ht="10.8" customHeight="1" x14ac:dyDescent="0.3">
      <c r="A7" s="109"/>
      <c r="F7" s="141"/>
      <c r="H7" s="195"/>
      <c r="I7" s="239"/>
      <c r="J7" s="195"/>
      <c r="O7" s="239"/>
      <c r="P7" s="297"/>
      <c r="U7" s="142"/>
    </row>
    <row r="8" spans="1:23" s="111" customFormat="1" ht="13.8" x14ac:dyDescent="0.3">
      <c r="A8" s="109"/>
      <c r="C8" s="298" t="s">
        <v>3</v>
      </c>
      <c r="F8" s="141"/>
      <c r="H8" s="195"/>
      <c r="I8" s="299" t="s">
        <v>0</v>
      </c>
      <c r="J8" s="195"/>
      <c r="O8" s="299" t="s">
        <v>50</v>
      </c>
      <c r="P8" s="297"/>
      <c r="U8" s="142"/>
    </row>
    <row r="9" spans="1:23" s="300" customFormat="1" ht="13.8" x14ac:dyDescent="0.3">
      <c r="A9" s="101"/>
      <c r="B9" s="196"/>
      <c r="D9" s="301" t="s">
        <v>179</v>
      </c>
      <c r="E9" s="301" t="s">
        <v>180</v>
      </c>
      <c r="F9" s="301" t="s">
        <v>156</v>
      </c>
      <c r="G9" s="302"/>
      <c r="H9" s="302"/>
      <c r="J9" s="303" t="s">
        <v>179</v>
      </c>
      <c r="K9" s="303" t="s">
        <v>180</v>
      </c>
      <c r="L9" s="301" t="s">
        <v>156</v>
      </c>
      <c r="M9" s="304"/>
      <c r="N9" s="302"/>
      <c r="P9" s="303" t="s">
        <v>180</v>
      </c>
      <c r="Q9" s="301" t="s">
        <v>156</v>
      </c>
      <c r="R9" s="301"/>
      <c r="S9" s="303"/>
      <c r="T9" s="305" t="s">
        <v>11</v>
      </c>
      <c r="U9" s="303"/>
      <c r="V9" s="196"/>
    </row>
    <row r="10" spans="1:23" s="141" customFormat="1" ht="13.8" x14ac:dyDescent="0.3">
      <c r="A10" s="289"/>
      <c r="B10" s="162"/>
      <c r="C10" s="269" t="s">
        <v>26</v>
      </c>
      <c r="D10" s="270">
        <f>Financials!D8</f>
        <v>4500</v>
      </c>
      <c r="E10" s="249">
        <f>Financials!E8</f>
        <v>4635</v>
      </c>
      <c r="F10" s="661">
        <f>U10</f>
        <v>4774</v>
      </c>
      <c r="G10" s="552" t="s">
        <v>193</v>
      </c>
      <c r="H10" s="288"/>
      <c r="I10" s="264" t="s">
        <v>10</v>
      </c>
      <c r="J10" s="249">
        <f>Financials!I8</f>
        <v>3195</v>
      </c>
      <c r="K10" s="249">
        <f>Financials!J8</f>
        <v>3240.6434285714286</v>
      </c>
      <c r="L10" s="661">
        <f>L27-SUM(L16,L11:L12)</f>
        <v>3708.7284280240829</v>
      </c>
      <c r="M10" s="553" t="s">
        <v>92</v>
      </c>
      <c r="N10" s="288"/>
      <c r="O10" s="284" t="s">
        <v>1</v>
      </c>
      <c r="P10" s="249">
        <f>E22</f>
        <v>632.64342857142856</v>
      </c>
      <c r="Q10" s="661">
        <f>F22</f>
        <v>721.57388834154358</v>
      </c>
      <c r="R10" s="554" t="s">
        <v>92</v>
      </c>
      <c r="S10" s="288"/>
      <c r="T10" s="141" t="s">
        <v>265</v>
      </c>
      <c r="U10" s="662">
        <v>4774</v>
      </c>
      <c r="V10" s="288"/>
    </row>
    <row r="11" spans="1:23" s="141" customFormat="1" ht="13.8" x14ac:dyDescent="0.3">
      <c r="A11" s="109"/>
      <c r="C11" s="278" t="s">
        <v>56</v>
      </c>
      <c r="D11" s="277">
        <f>Financials!D9</f>
        <v>800</v>
      </c>
      <c r="E11" s="267">
        <f>Financials!E9</f>
        <v>825</v>
      </c>
      <c r="F11" s="663">
        <f>SUM(D11:E11)/SUM($D$10:$E$10)*F10</f>
        <v>849.23371647509578</v>
      </c>
      <c r="G11" s="555" t="s">
        <v>194</v>
      </c>
      <c r="I11" s="264" t="s">
        <v>44</v>
      </c>
      <c r="J11" s="249">
        <f>Financials!I9</f>
        <v>901</v>
      </c>
      <c r="K11" s="249">
        <f>Financials!J9</f>
        <v>955</v>
      </c>
      <c r="L11" s="664">
        <f>SUM(J11:K11)/SUM($D$10:$E$10)*F10</f>
        <v>969.95555555555552</v>
      </c>
      <c r="M11" s="556" t="s">
        <v>194</v>
      </c>
      <c r="O11" s="284" t="s">
        <v>24</v>
      </c>
      <c r="P11" s="249">
        <f>E18</f>
        <v>100</v>
      </c>
      <c r="Q11" s="663">
        <f>F18</f>
        <v>50</v>
      </c>
      <c r="R11" s="557" t="s">
        <v>92</v>
      </c>
      <c r="T11" s="141" t="s">
        <v>24</v>
      </c>
      <c r="U11" s="665">
        <v>50</v>
      </c>
    </row>
    <row r="12" spans="1:23" s="141" customFormat="1" ht="13.8" x14ac:dyDescent="0.3">
      <c r="A12" s="287"/>
      <c r="C12" s="269" t="s">
        <v>19</v>
      </c>
      <c r="D12" s="270">
        <f>Financials!D10</f>
        <v>3700</v>
      </c>
      <c r="E12" s="249">
        <f>Financials!E10</f>
        <v>3810</v>
      </c>
      <c r="F12" s="250">
        <f>+F10-F11</f>
        <v>3924.7662835249043</v>
      </c>
      <c r="G12" s="272" t="s">
        <v>178</v>
      </c>
      <c r="I12" s="266" t="s">
        <v>16</v>
      </c>
      <c r="J12" s="267">
        <f>Financials!I10</f>
        <v>800</v>
      </c>
      <c r="K12" s="267">
        <f>Financials!J10</f>
        <v>850</v>
      </c>
      <c r="L12" s="663">
        <f>SUM(J12:K12)/SUM($D$10:$E$10)*$F$10</f>
        <v>862.29885057471267</v>
      </c>
      <c r="M12" s="555" t="s">
        <v>194</v>
      </c>
      <c r="O12" s="284" t="s">
        <v>195</v>
      </c>
      <c r="P12" s="249"/>
      <c r="Q12" s="285"/>
      <c r="R12" s="286"/>
      <c r="T12" s="141" t="s">
        <v>31</v>
      </c>
      <c r="U12" s="665">
        <v>74</v>
      </c>
    </row>
    <row r="13" spans="1:23" s="141" customFormat="1" ht="13.8" x14ac:dyDescent="0.3">
      <c r="A13" s="109"/>
      <c r="C13" s="271" t="s">
        <v>29</v>
      </c>
      <c r="D13" s="270">
        <f>Financials!D11</f>
        <v>2200</v>
      </c>
      <c r="E13" s="249">
        <f>Financials!E11</f>
        <v>2200</v>
      </c>
      <c r="F13" s="661">
        <f>E13</f>
        <v>2200</v>
      </c>
      <c r="G13" s="558" t="s">
        <v>218</v>
      </c>
      <c r="I13" s="248" t="s">
        <v>7</v>
      </c>
      <c r="J13" s="249">
        <f>Financials!I11</f>
        <v>4896</v>
      </c>
      <c r="K13" s="249">
        <f>Financials!J11</f>
        <v>5045.6434285714286</v>
      </c>
      <c r="L13" s="250">
        <f>SUM(L10:L12)</f>
        <v>5540.9828341543507</v>
      </c>
      <c r="M13" s="283"/>
      <c r="O13" s="274" t="s">
        <v>203</v>
      </c>
      <c r="P13" s="249">
        <f>J11-K11</f>
        <v>-54</v>
      </c>
      <c r="Q13" s="661">
        <f>K11-L11</f>
        <v>-14.95555555555552</v>
      </c>
      <c r="R13" s="554" t="s">
        <v>92</v>
      </c>
      <c r="T13" s="141" t="s">
        <v>43</v>
      </c>
      <c r="U13" s="665">
        <v>100</v>
      </c>
    </row>
    <row r="14" spans="1:23" s="141" customFormat="1" ht="13.8" x14ac:dyDescent="0.3">
      <c r="A14" s="109"/>
      <c r="C14" s="271" t="s">
        <v>30</v>
      </c>
      <c r="D14" s="270">
        <f>Financials!D12</f>
        <v>65</v>
      </c>
      <c r="E14" s="249">
        <f>Financials!E12</f>
        <v>65</v>
      </c>
      <c r="F14" s="664">
        <f>E14</f>
        <v>65</v>
      </c>
      <c r="G14" s="559" t="s">
        <v>218</v>
      </c>
      <c r="I14" s="264" t="s">
        <v>43</v>
      </c>
      <c r="J14" s="249">
        <f>Financials!I12</f>
        <v>1845</v>
      </c>
      <c r="K14" s="249">
        <f>Financials!J12</f>
        <v>2100</v>
      </c>
      <c r="L14" s="661">
        <f>K14+U13</f>
        <v>2200</v>
      </c>
      <c r="M14" s="552" t="s">
        <v>193</v>
      </c>
      <c r="O14" s="274" t="s">
        <v>35</v>
      </c>
      <c r="P14" s="249">
        <f>J12-K12</f>
        <v>-50</v>
      </c>
      <c r="Q14" s="664">
        <f>K12-L12</f>
        <v>-12.298850574712674</v>
      </c>
      <c r="R14" s="560" t="s">
        <v>92</v>
      </c>
      <c r="T14" s="141" t="s">
        <v>266</v>
      </c>
      <c r="U14" s="665">
        <v>50</v>
      </c>
    </row>
    <row r="15" spans="1:23" s="141" customFormat="1" ht="13.8" x14ac:dyDescent="0.3">
      <c r="A15" s="109"/>
      <c r="C15" s="271" t="s">
        <v>31</v>
      </c>
      <c r="D15" s="270">
        <f>Financials!D13</f>
        <v>70</v>
      </c>
      <c r="E15" s="249">
        <f>Financials!E13</f>
        <v>72</v>
      </c>
      <c r="F15" s="664">
        <f>U12</f>
        <v>74</v>
      </c>
      <c r="G15" s="561" t="s">
        <v>193</v>
      </c>
      <c r="I15" s="264" t="s">
        <v>45</v>
      </c>
      <c r="J15" s="249">
        <f>Financials!I13</f>
        <v>-161</v>
      </c>
      <c r="K15" s="249">
        <f>Financials!J13</f>
        <v>-261</v>
      </c>
      <c r="L15" s="663">
        <f>K15-F18</f>
        <v>-311</v>
      </c>
      <c r="M15" s="562" t="s">
        <v>92</v>
      </c>
      <c r="O15" s="268" t="s">
        <v>36</v>
      </c>
      <c r="P15" s="267">
        <f>K18-J18</f>
        <v>72</v>
      </c>
      <c r="Q15" s="663">
        <f>L18-K18</f>
        <v>-26.234482758620686</v>
      </c>
      <c r="R15" s="557" t="s">
        <v>92</v>
      </c>
      <c r="T15" s="282" t="s">
        <v>267</v>
      </c>
      <c r="U15" s="665">
        <v>-50</v>
      </c>
    </row>
    <row r="16" spans="1:23" s="141" customFormat="1" ht="13.8" x14ac:dyDescent="0.3">
      <c r="A16" s="109"/>
      <c r="C16" s="278" t="s">
        <v>32</v>
      </c>
      <c r="D16" s="277">
        <f>Financials!D14</f>
        <v>180</v>
      </c>
      <c r="E16" s="267">
        <f>Financials!E14</f>
        <v>165</v>
      </c>
      <c r="F16" s="663">
        <f>SUM(D16:E16)/SUM($D$10:$E$10)*$F$10</f>
        <v>180.29885057471265</v>
      </c>
      <c r="G16" s="555" t="s">
        <v>194</v>
      </c>
      <c r="I16" s="279" t="s">
        <v>5</v>
      </c>
      <c r="J16" s="267">
        <f>Financials!I14</f>
        <v>1684</v>
      </c>
      <c r="K16" s="267">
        <f>Financials!J14</f>
        <v>1839</v>
      </c>
      <c r="L16" s="280">
        <f>SUM(L14:L15)</f>
        <v>1889</v>
      </c>
      <c r="M16" s="273"/>
      <c r="O16" s="281" t="s">
        <v>40</v>
      </c>
      <c r="P16" s="249">
        <f>SUM(P10:P15)</f>
        <v>700.64342857142856</v>
      </c>
      <c r="Q16" s="250">
        <f>SUM(Q10:Q15)</f>
        <v>718.08499945265476</v>
      </c>
      <c r="R16" s="261"/>
      <c r="T16" s="141" t="s">
        <v>264</v>
      </c>
      <c r="U16" s="666">
        <f>Financials!T10</f>
        <v>0.4</v>
      </c>
    </row>
    <row r="17" spans="1:21" s="141" customFormat="1" ht="13.8" x14ac:dyDescent="0.3">
      <c r="A17" s="109"/>
      <c r="C17" s="269" t="s">
        <v>88</v>
      </c>
      <c r="D17" s="270">
        <f>Financials!D15</f>
        <v>2515</v>
      </c>
      <c r="E17" s="249">
        <f>Financials!E15</f>
        <v>2502</v>
      </c>
      <c r="F17" s="250">
        <f>SUM(F13:F16)</f>
        <v>2519.2988505747126</v>
      </c>
      <c r="G17" s="272" t="s">
        <v>178</v>
      </c>
      <c r="I17" s="248" t="s">
        <v>52</v>
      </c>
      <c r="J17" s="249">
        <f>Financials!I15</f>
        <v>6580</v>
      </c>
      <c r="K17" s="249">
        <f>Financials!J15</f>
        <v>6884.6434285714286</v>
      </c>
      <c r="L17" s="250">
        <f>L13+L16</f>
        <v>7429.9828341543507</v>
      </c>
      <c r="M17" s="255"/>
      <c r="O17" s="268" t="s">
        <v>25</v>
      </c>
      <c r="P17" s="267">
        <f>J14-K14</f>
        <v>-255</v>
      </c>
      <c r="Q17" s="667">
        <f>K14-L14</f>
        <v>-100</v>
      </c>
      <c r="R17" s="563" t="s">
        <v>92</v>
      </c>
      <c r="T17" s="141" t="s">
        <v>274</v>
      </c>
      <c r="U17" s="564">
        <f>Financials!T8</f>
        <v>4.7771428571428569E-2</v>
      </c>
    </row>
    <row r="18" spans="1:21" s="141" customFormat="1" ht="13.8" x14ac:dyDescent="0.3">
      <c r="A18" s="109"/>
      <c r="C18" s="278" t="s">
        <v>24</v>
      </c>
      <c r="D18" s="277">
        <f>Financials!D16</f>
        <v>115</v>
      </c>
      <c r="E18" s="267">
        <f>Financials!E16</f>
        <v>100</v>
      </c>
      <c r="F18" s="667">
        <f>U11</f>
        <v>50</v>
      </c>
      <c r="G18" s="565" t="s">
        <v>193</v>
      </c>
      <c r="I18" s="264" t="s">
        <v>14</v>
      </c>
      <c r="J18" s="249">
        <f>Financials!I17</f>
        <v>180</v>
      </c>
      <c r="K18" s="249">
        <f>Financials!J17</f>
        <v>252</v>
      </c>
      <c r="L18" s="661">
        <f>SUM(J18:K18)/SUM($D$10:$E$10)*$F$10</f>
        <v>225.76551724137931</v>
      </c>
      <c r="M18" s="566" t="s">
        <v>194</v>
      </c>
      <c r="O18" s="259" t="s">
        <v>42</v>
      </c>
      <c r="P18" s="260">
        <f>SUM(P17)</f>
        <v>-255</v>
      </c>
      <c r="Q18" s="250">
        <f>SUM(Q17)</f>
        <v>-100</v>
      </c>
      <c r="R18" s="261"/>
      <c r="T18" s="141" t="s">
        <v>275</v>
      </c>
      <c r="U18" s="564">
        <f>Financials!T9</f>
        <v>6.2771428571428561E-2</v>
      </c>
    </row>
    <row r="19" spans="1:21" s="141" customFormat="1" ht="13.8" x14ac:dyDescent="0.3">
      <c r="A19" s="109"/>
      <c r="C19" s="269" t="s">
        <v>4</v>
      </c>
      <c r="D19" s="270">
        <f>Financials!D17</f>
        <v>1070</v>
      </c>
      <c r="E19" s="249">
        <f>Financials!E17</f>
        <v>1208</v>
      </c>
      <c r="F19" s="250">
        <f>F12-F17-F18</f>
        <v>1355.4674329501918</v>
      </c>
      <c r="G19" s="272" t="s">
        <v>178</v>
      </c>
      <c r="I19" s="266" t="s">
        <v>93</v>
      </c>
      <c r="J19" s="267">
        <f>Financials!I18</f>
        <v>800</v>
      </c>
      <c r="K19" s="267">
        <f>Financials!J18</f>
        <v>850</v>
      </c>
      <c r="L19" s="663">
        <f>K19+U14</f>
        <v>900</v>
      </c>
      <c r="M19" s="567" t="s">
        <v>193</v>
      </c>
      <c r="O19" s="274" t="s">
        <v>74</v>
      </c>
      <c r="P19" s="249">
        <f>K19-J19</f>
        <v>50</v>
      </c>
      <c r="Q19" s="661">
        <f>L19-K19</f>
        <v>50</v>
      </c>
      <c r="R19" s="554" t="s">
        <v>92</v>
      </c>
    </row>
    <row r="20" spans="1:21" s="141" customFormat="1" ht="13.8" x14ac:dyDescent="0.3">
      <c r="A20" s="109"/>
      <c r="C20" s="269" t="s">
        <v>34</v>
      </c>
      <c r="D20" s="270">
        <f>Financials!D18</f>
        <v>170.03714285714281</v>
      </c>
      <c r="E20" s="249">
        <f>Financials!E18</f>
        <v>153.59428571428569</v>
      </c>
      <c r="F20" s="661">
        <f>L19*U17+L21*U18</f>
        <v>152.84428571428569</v>
      </c>
      <c r="G20" s="553" t="s">
        <v>92</v>
      </c>
      <c r="I20" s="248" t="s">
        <v>8</v>
      </c>
      <c r="J20" s="249">
        <f>Financials!I19</f>
        <v>980</v>
      </c>
      <c r="K20" s="249">
        <f>Financials!J19</f>
        <v>1102</v>
      </c>
      <c r="L20" s="250">
        <f>SUM(L18:L19)</f>
        <v>1125.7655172413793</v>
      </c>
      <c r="M20" s="273"/>
      <c r="O20" s="274" t="s">
        <v>66</v>
      </c>
      <c r="P20" s="249">
        <f>K21-J21</f>
        <v>-300</v>
      </c>
      <c r="Q20" s="664">
        <f>L21-K21</f>
        <v>-50</v>
      </c>
      <c r="R20" s="560" t="s">
        <v>92</v>
      </c>
      <c r="T20" s="111"/>
      <c r="U20" s="142"/>
    </row>
    <row r="21" spans="1:21" s="141" customFormat="1" ht="13.8" x14ac:dyDescent="0.3">
      <c r="A21" s="109"/>
      <c r="C21" s="276" t="s">
        <v>33</v>
      </c>
      <c r="D21" s="277">
        <f>Financials!D19</f>
        <v>359.98514285714288</v>
      </c>
      <c r="E21" s="267">
        <f>Financials!E19</f>
        <v>421.76228571428578</v>
      </c>
      <c r="F21" s="663">
        <f>(F19-F20)*U16</f>
        <v>481.04925889436248</v>
      </c>
      <c r="G21" s="562" t="s">
        <v>92</v>
      </c>
      <c r="I21" s="275" t="s">
        <v>39</v>
      </c>
      <c r="J21" s="267">
        <f>Financials!I20</f>
        <v>2100</v>
      </c>
      <c r="K21" s="267">
        <f>Financials!J20</f>
        <v>1800</v>
      </c>
      <c r="L21" s="667">
        <f>K21+U15</f>
        <v>1750</v>
      </c>
      <c r="M21" s="565" t="s">
        <v>193</v>
      </c>
      <c r="O21" s="274" t="s">
        <v>81</v>
      </c>
      <c r="P21" s="249">
        <f>K23-J23</f>
        <v>0</v>
      </c>
      <c r="Q21" s="664">
        <f>L23-K23</f>
        <v>0</v>
      </c>
      <c r="R21" s="560" t="s">
        <v>92</v>
      </c>
      <c r="T21" s="111"/>
      <c r="U21" s="142"/>
    </row>
    <row r="22" spans="1:21" s="141" customFormat="1" ht="13.8" x14ac:dyDescent="0.3">
      <c r="A22" s="109"/>
      <c r="C22" s="271" t="s">
        <v>1</v>
      </c>
      <c r="D22" s="249">
        <f>Financials!D20</f>
        <v>539.97771428571423</v>
      </c>
      <c r="E22" s="249">
        <f>Financials!E20</f>
        <v>632.64342857142856</v>
      </c>
      <c r="F22" s="250">
        <f>F19-F20-F21</f>
        <v>721.57388834154358</v>
      </c>
      <c r="G22" s="272"/>
      <c r="I22" s="248" t="s">
        <v>53</v>
      </c>
      <c r="J22" s="249">
        <f>Financials!I21</f>
        <v>3080</v>
      </c>
      <c r="K22" s="249">
        <f>Financials!J21</f>
        <v>2902</v>
      </c>
      <c r="L22" s="250">
        <f>SUM(L20:L21)</f>
        <v>2875.7655172413793</v>
      </c>
      <c r="M22" s="273"/>
      <c r="O22" s="274" t="s">
        <v>82</v>
      </c>
      <c r="P22" s="249">
        <f>K24-J24</f>
        <v>0</v>
      </c>
      <c r="Q22" s="664">
        <f>L24-K24</f>
        <v>0</v>
      </c>
      <c r="R22" s="560" t="s">
        <v>92</v>
      </c>
      <c r="T22" s="111"/>
      <c r="U22" s="142"/>
    </row>
    <row r="23" spans="1:21" s="141" customFormat="1" ht="13.8" x14ac:dyDescent="0.3">
      <c r="A23" s="109"/>
      <c r="C23" s="269" t="s">
        <v>22</v>
      </c>
      <c r="D23" s="270">
        <f>Financials!D21</f>
        <v>150</v>
      </c>
      <c r="E23" s="249">
        <f>Financials!E21</f>
        <v>150</v>
      </c>
      <c r="F23" s="667">
        <f>E23</f>
        <v>150</v>
      </c>
      <c r="G23" s="565" t="s">
        <v>193</v>
      </c>
      <c r="I23" s="264" t="s">
        <v>80</v>
      </c>
      <c r="J23" s="249">
        <f>Financials!I23</f>
        <v>500</v>
      </c>
      <c r="K23" s="249">
        <f>Financials!J23</f>
        <v>500</v>
      </c>
      <c r="L23" s="661">
        <f>K23</f>
        <v>500</v>
      </c>
      <c r="M23" s="558" t="s">
        <v>218</v>
      </c>
      <c r="O23" s="268" t="s">
        <v>22</v>
      </c>
      <c r="P23" s="267">
        <f>-E23</f>
        <v>-150</v>
      </c>
      <c r="Q23" s="663">
        <f>-F23</f>
        <v>-150</v>
      </c>
      <c r="R23" s="557" t="s">
        <v>92</v>
      </c>
      <c r="T23" s="111"/>
      <c r="U23" s="142"/>
    </row>
    <row r="24" spans="1:21" s="141" customFormat="1" ht="13.8" x14ac:dyDescent="0.3">
      <c r="A24" s="109"/>
      <c r="C24" s="111"/>
      <c r="D24" s="263"/>
      <c r="E24" s="263"/>
      <c r="F24" s="254"/>
      <c r="I24" s="264" t="s">
        <v>12</v>
      </c>
      <c r="J24" s="249">
        <f>Financials!I24</f>
        <v>1600</v>
      </c>
      <c r="K24" s="249">
        <f>Financials!J24</f>
        <v>1600</v>
      </c>
      <c r="L24" s="664">
        <f>K24</f>
        <v>1600</v>
      </c>
      <c r="M24" s="559" t="s">
        <v>218</v>
      </c>
      <c r="O24" s="259" t="s">
        <v>41</v>
      </c>
      <c r="P24" s="260">
        <f>SUM(P19:P23)</f>
        <v>-400</v>
      </c>
      <c r="Q24" s="250">
        <f>SUM(Q19:Q23)</f>
        <v>-150</v>
      </c>
      <c r="R24" s="261"/>
      <c r="T24" s="111"/>
      <c r="U24" s="142"/>
    </row>
    <row r="25" spans="1:21" s="141" customFormat="1" ht="13.8" x14ac:dyDescent="0.3">
      <c r="A25" s="109"/>
      <c r="D25" s="265"/>
      <c r="E25" s="265"/>
      <c r="F25" s="254"/>
      <c r="I25" s="266" t="s">
        <v>18</v>
      </c>
      <c r="J25" s="267">
        <f>Financials!I25</f>
        <v>1400</v>
      </c>
      <c r="K25" s="267">
        <f>Financials!J25</f>
        <v>1882.6434285714286</v>
      </c>
      <c r="L25" s="663">
        <f>K25+F22-F23</f>
        <v>2454.2173169129719</v>
      </c>
      <c r="M25" s="562" t="s">
        <v>92</v>
      </c>
      <c r="O25" s="262" t="s">
        <v>188</v>
      </c>
      <c r="P25" s="249">
        <f>SUM(P16,P18,P24)</f>
        <v>45.643428571428558</v>
      </c>
      <c r="Q25" s="250">
        <f>SUM(Q16,Q18,Q24)</f>
        <v>468.08499945265476</v>
      </c>
      <c r="R25" s="253" t="str">
        <f>IF(ABS(Q25-Q26)&lt;0.2,_xlfn.UNICHAR(10004), _xlfn.UNICHAR(10006))</f>
        <v>✔</v>
      </c>
      <c r="T25" s="111"/>
      <c r="U25" s="142"/>
    </row>
    <row r="26" spans="1:21" s="141" customFormat="1" ht="13.8" x14ac:dyDescent="0.3">
      <c r="A26" s="178"/>
      <c r="B26" s="178"/>
      <c r="C26" s="178"/>
      <c r="D26" s="178"/>
      <c r="E26" s="178"/>
      <c r="F26" s="178"/>
      <c r="I26" s="248" t="s">
        <v>54</v>
      </c>
      <c r="J26" s="249">
        <f>Financials!I26</f>
        <v>3500</v>
      </c>
      <c r="K26" s="249">
        <f>Financials!J26</f>
        <v>3982.6434285714286</v>
      </c>
      <c r="L26" s="250">
        <f>SUM(L23:L25)</f>
        <v>4554.2173169129719</v>
      </c>
      <c r="M26" s="251"/>
      <c r="O26" s="252" t="s">
        <v>133</v>
      </c>
      <c r="P26" s="249">
        <f>K10-J10</f>
        <v>45.643428571428558</v>
      </c>
      <c r="Q26" s="250">
        <f>L10-K10</f>
        <v>468.0849994526543</v>
      </c>
      <c r="R26" s="253" t="str">
        <f>IF(ABS(Q25-Q26)&lt;0.2,_xlfn.UNICHAR(10004), _xlfn.UNICHAR(10006))</f>
        <v>✔</v>
      </c>
      <c r="T26" s="111"/>
      <c r="U26" s="142"/>
    </row>
    <row r="27" spans="1:21" s="141" customFormat="1" ht="13.8" x14ac:dyDescent="0.3">
      <c r="A27" s="254"/>
      <c r="B27" s="254"/>
      <c r="C27" s="254"/>
      <c r="D27" s="254"/>
      <c r="E27" s="254"/>
      <c r="F27" s="254"/>
      <c r="I27" s="248" t="s">
        <v>55</v>
      </c>
      <c r="J27" s="249">
        <f>Financials!I27</f>
        <v>6580</v>
      </c>
      <c r="K27" s="249">
        <f>Financials!J27</f>
        <v>6884.6434285714286</v>
      </c>
      <c r="L27" s="250">
        <f>L22+L26</f>
        <v>7429.9828341543507</v>
      </c>
      <c r="M27" s="255"/>
      <c r="P27" s="256"/>
      <c r="Q27" s="142"/>
      <c r="R27" s="142"/>
      <c r="T27" s="111"/>
      <c r="U27" s="142"/>
    </row>
    <row r="28" spans="1:21" x14ac:dyDescent="0.3">
      <c r="A28" s="257"/>
      <c r="B28" s="257"/>
      <c r="C28" s="257"/>
      <c r="D28" s="257"/>
      <c r="E28" s="257"/>
      <c r="T28" s="111"/>
      <c r="U28" s="142"/>
    </row>
    <row r="29" spans="1:21" x14ac:dyDescent="0.3">
      <c r="A29" s="181"/>
      <c r="B29" s="181"/>
      <c r="C29" s="181"/>
      <c r="D29" s="181"/>
      <c r="E29" s="181"/>
      <c r="F29" s="181"/>
      <c r="T29" s="111"/>
      <c r="U29" s="142"/>
    </row>
    <row r="30" spans="1:21" x14ac:dyDescent="0.3">
      <c r="A30" s="257"/>
      <c r="B30" s="257"/>
      <c r="C30" s="257"/>
      <c r="D30" s="257"/>
      <c r="E30" s="257"/>
      <c r="T30" s="111"/>
      <c r="U30" s="142"/>
    </row>
    <row r="31" spans="1:21" x14ac:dyDescent="0.3">
      <c r="A31" s="257"/>
      <c r="B31" s="257"/>
      <c r="C31" s="257"/>
      <c r="D31" s="257"/>
      <c r="E31" s="257"/>
      <c r="T31" s="111"/>
      <c r="U31" s="142"/>
    </row>
    <row r="32" spans="1:21" x14ac:dyDescent="0.3">
      <c r="A32" s="257"/>
      <c r="B32" s="257"/>
      <c r="C32" s="257"/>
      <c r="D32" s="257"/>
      <c r="E32" s="257"/>
      <c r="T32" s="111"/>
      <c r="U32" s="142"/>
    </row>
    <row r="33" spans="1:21" x14ac:dyDescent="0.3">
      <c r="A33" s="87"/>
      <c r="B33" s="87"/>
      <c r="C33" s="87"/>
      <c r="T33" s="111"/>
      <c r="U33" s="142"/>
    </row>
    <row r="34" spans="1:21" x14ac:dyDescent="0.3">
      <c r="T34" s="111"/>
    </row>
    <row r="35" spans="1:21" x14ac:dyDescent="0.3">
      <c r="O35" s="156"/>
      <c r="P35" s="258"/>
      <c r="Q35" s="157"/>
      <c r="R35" s="157"/>
      <c r="T35" s="111"/>
    </row>
    <row r="36" spans="1:21" x14ac:dyDescent="0.3">
      <c r="T36" s="111"/>
    </row>
    <row r="37" spans="1:21" x14ac:dyDescent="0.3">
      <c r="T37" s="111"/>
    </row>
    <row r="38" spans="1:21" x14ac:dyDescent="0.3">
      <c r="T38" s="111"/>
    </row>
    <row r="39" spans="1:21" x14ac:dyDescent="0.3">
      <c r="T39" s="111"/>
    </row>
    <row r="40" spans="1:21" x14ac:dyDescent="0.3">
      <c r="T40" s="111"/>
    </row>
    <row r="41" spans="1:21" x14ac:dyDescent="0.3">
      <c r="T41" s="111"/>
    </row>
    <row r="42" spans="1:21" x14ac:dyDescent="0.3">
      <c r="T42" s="111"/>
    </row>
  </sheetData>
  <sheetProtection algorithmName="SHA-512" hashValue="G7nJWhvDNNoVdz1RPsbwzn9ddBuo7JdSUAvw8V7BVv2EV5w2vuTncGiqav+c7CesYSc6jL2VfrIabwmcsnMgxw==" saltValue="ITIyc+ij8MZrMd4GxoAQQg==" spinCount="100000" sheet="1" objects="1" scenarios="1" selectLockedCells="1" selectUnlockedCells="1"/>
  <mergeCells count="1">
    <mergeCell ref="S3:U3"/>
  </mergeCells>
  <conditionalFormatting sqref="M17">
    <cfRule type="expression" dxfId="2" priority="3">
      <formula>IF(M17=_xlfn.UNICHAR(10006),TRUE,FALSE)</formula>
    </cfRule>
  </conditionalFormatting>
  <conditionalFormatting sqref="M27">
    <cfRule type="expression" dxfId="1" priority="2">
      <formula>IF(M27=_xlfn.UNICHAR(10006),TRUE,FALSE)</formula>
    </cfRule>
  </conditionalFormatting>
  <conditionalFormatting sqref="R25:R26">
    <cfRule type="expression" dxfId="0" priority="1">
      <formula>IF(R25=_xlfn.UNICHAR(10006),TRUE,FALSE)</formula>
    </cfRule>
  </conditionalFormatting>
  <printOptions horizontalCentered="1"/>
  <pageMargins left="0.5" right="0.5" top="0.75" bottom="0.5" header="0.5" footer="0.5"/>
  <pageSetup orientation="landscape" r:id="rId1"/>
  <headerFooter scaleWithDoc="0" alignWithMargins="0">
    <oddFooter>&amp;LFinancial Forecasting&amp;RPage &amp;P of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6F72-CB35-4016-8538-B74E724984F7}">
  <sheetPr codeName="Sheet5">
    <tabColor rgb="FFF0D3D2"/>
    <pageSetUpPr fitToPage="1"/>
  </sheetPr>
  <dimension ref="A1:Y33"/>
  <sheetViews>
    <sheetView showGridLines="0" showRowColHeaders="0" zoomScaleNormal="100" zoomScaleSheetLayoutView="75" workbookViewId="0"/>
  </sheetViews>
  <sheetFormatPr defaultColWidth="9.21875" defaultRowHeight="14.4" x14ac:dyDescent="0.3"/>
  <cols>
    <col min="1" max="1" width="3.109375" style="81" customWidth="1"/>
    <col min="2" max="2" width="5.5546875" style="311" customWidth="1"/>
    <col min="3" max="3" width="23" style="311" customWidth="1"/>
    <col min="4" max="4" width="5.6640625" style="311" customWidth="1"/>
    <col min="5" max="5" width="3.109375" style="311" customWidth="1"/>
    <col min="6" max="6" width="1.21875" style="311" customWidth="1"/>
    <col min="7" max="7" width="3.109375" style="311" customWidth="1"/>
    <col min="8" max="8" width="1.77734375" style="311" customWidth="1"/>
    <col min="9" max="10" width="2.109375" style="334" customWidth="1"/>
    <col min="11" max="11" width="6.88671875" style="334" customWidth="1"/>
    <col min="12" max="12" width="5" style="334" customWidth="1"/>
    <col min="13" max="13" width="6.21875" style="312" customWidth="1"/>
    <col min="14" max="14" width="1.6640625" style="311" customWidth="1"/>
    <col min="15" max="15" width="5.6640625" style="311" customWidth="1"/>
    <col min="16" max="16" width="3.109375" style="311" customWidth="1"/>
    <col min="17" max="17" width="5.44140625" style="334" customWidth="1"/>
    <col min="18" max="18" width="18.77734375" style="315" customWidth="1"/>
    <col min="19" max="19" width="5.33203125" style="312" bestFit="1" customWidth="1"/>
    <col min="20" max="20" width="1.6640625" style="311" customWidth="1"/>
    <col min="21" max="21" width="22.88671875" style="311" customWidth="1"/>
    <col min="22" max="22" width="5.33203125" style="311" bestFit="1" customWidth="1"/>
    <col min="23" max="16384" width="9.21875" style="311"/>
  </cols>
  <sheetData>
    <row r="1" spans="1:25" s="67" customFormat="1" ht="8.4" customHeight="1" x14ac:dyDescent="0.2">
      <c r="A1" s="885" t="s">
        <v>59</v>
      </c>
      <c r="E1" s="68"/>
      <c r="H1" s="167"/>
      <c r="W1" s="69"/>
    </row>
    <row r="2" spans="1:25" s="72" customFormat="1" ht="23.4" x14ac:dyDescent="0.45">
      <c r="A2" s="70"/>
      <c r="C2" s="71" t="s">
        <v>47</v>
      </c>
      <c r="D2" s="71"/>
      <c r="E2" s="71"/>
      <c r="F2" s="71"/>
      <c r="I2" s="73"/>
      <c r="J2" s="73"/>
      <c r="K2" s="73"/>
      <c r="L2" s="73"/>
      <c r="M2" s="306"/>
      <c r="P2" s="71"/>
      <c r="Q2" s="73"/>
      <c r="R2" s="74"/>
      <c r="S2" s="306"/>
    </row>
    <row r="3" spans="1:25" s="77" customFormat="1" ht="18" x14ac:dyDescent="0.35">
      <c r="A3" s="75"/>
      <c r="C3" s="76" t="s">
        <v>127</v>
      </c>
      <c r="D3" s="307"/>
      <c r="E3" s="307"/>
      <c r="F3" s="307"/>
      <c r="I3" s="78"/>
      <c r="J3" s="78"/>
      <c r="K3" s="78"/>
      <c r="M3" s="308"/>
      <c r="P3" s="307"/>
      <c r="Q3" s="78"/>
      <c r="R3" s="309"/>
      <c r="S3" s="310"/>
      <c r="U3" s="898"/>
      <c r="V3" s="898"/>
    </row>
    <row r="4" spans="1:25" s="85" customFormat="1" x14ac:dyDescent="0.3">
      <c r="A4" s="81"/>
      <c r="C4" s="82"/>
      <c r="D4" s="82"/>
      <c r="E4" s="82"/>
      <c r="F4" s="82"/>
      <c r="G4" s="83"/>
      <c r="H4" s="83"/>
      <c r="I4" s="84"/>
      <c r="J4" s="83"/>
      <c r="K4" s="83"/>
      <c r="L4" s="83"/>
      <c r="M4" s="87"/>
      <c r="N4" s="181"/>
      <c r="O4" s="84"/>
      <c r="P4" s="82"/>
      <c r="S4" s="87"/>
    </row>
    <row r="5" spans="1:25" s="85" customFormat="1" ht="15.6" x14ac:dyDescent="0.3">
      <c r="A5" s="81"/>
      <c r="C5" s="83" t="s">
        <v>228</v>
      </c>
      <c r="D5" s="83"/>
      <c r="E5" s="83"/>
      <c r="F5" s="83"/>
      <c r="G5" s="83"/>
      <c r="H5" s="83"/>
      <c r="I5" s="83"/>
      <c r="J5" s="83"/>
      <c r="K5" s="83"/>
      <c r="L5" s="83"/>
      <c r="M5" s="181"/>
      <c r="N5" s="83"/>
      <c r="O5" s="83"/>
      <c r="P5" s="83"/>
      <c r="S5" s="87"/>
      <c r="V5" s="88"/>
      <c r="W5" s="88"/>
      <c r="X5" s="88"/>
      <c r="Y5" s="88"/>
    </row>
    <row r="6" spans="1:25" s="85" customFormat="1" ht="9.6" customHeight="1" x14ac:dyDescent="0.3">
      <c r="A6" s="81"/>
      <c r="G6" s="89"/>
      <c r="I6" s="90"/>
      <c r="J6" s="91"/>
      <c r="K6" s="90"/>
      <c r="O6" s="88"/>
      <c r="Q6" s="91"/>
      <c r="R6" s="90"/>
      <c r="S6" s="87"/>
      <c r="U6" s="88"/>
      <c r="V6" s="83"/>
      <c r="W6" s="230"/>
    </row>
    <row r="7" spans="1:25" ht="14.4" customHeight="1" x14ac:dyDescent="0.3">
      <c r="C7" s="108" t="s">
        <v>134</v>
      </c>
      <c r="D7" s="905" t="s">
        <v>184</v>
      </c>
      <c r="E7" s="905"/>
      <c r="F7" s="905"/>
      <c r="G7" s="908" t="s">
        <v>69</v>
      </c>
      <c r="H7" s="910" t="s">
        <v>79</v>
      </c>
      <c r="I7" s="910"/>
      <c r="J7" s="906" t="s">
        <v>94</v>
      </c>
      <c r="K7" s="906"/>
      <c r="L7" s="64"/>
      <c r="O7" s="313" t="s">
        <v>313</v>
      </c>
      <c r="P7" s="314"/>
      <c r="Q7" s="314"/>
      <c r="U7" s="313" t="s">
        <v>314</v>
      </c>
    </row>
    <row r="8" spans="1:25" x14ac:dyDescent="0.3">
      <c r="C8" s="195" t="s">
        <v>135</v>
      </c>
      <c r="D8" s="905"/>
      <c r="E8" s="905"/>
      <c r="F8" s="905"/>
      <c r="G8" s="908"/>
      <c r="H8" s="909" t="s">
        <v>70</v>
      </c>
      <c r="I8" s="909"/>
      <c r="J8" s="907" t="s">
        <v>248</v>
      </c>
      <c r="K8" s="907"/>
      <c r="L8" s="316"/>
      <c r="N8" s="317"/>
      <c r="O8" s="318" t="s">
        <v>208</v>
      </c>
      <c r="P8" s="318"/>
      <c r="Q8" s="318"/>
      <c r="S8" s="319"/>
      <c r="U8" s="318" t="s">
        <v>209</v>
      </c>
    </row>
    <row r="9" spans="1:25" s="85" customFormat="1" ht="9.6" customHeight="1" x14ac:dyDescent="0.3">
      <c r="A9" s="81"/>
      <c r="G9" s="89"/>
      <c r="I9" s="90"/>
      <c r="J9" s="91"/>
      <c r="K9" s="90"/>
      <c r="O9" s="90"/>
      <c r="Q9" s="91"/>
      <c r="S9" s="87"/>
      <c r="U9" s="88"/>
      <c r="V9" s="83"/>
      <c r="W9" s="230"/>
    </row>
    <row r="10" spans="1:25" s="328" customFormat="1" ht="15" customHeight="1" x14ac:dyDescent="0.3">
      <c r="A10" s="320"/>
      <c r="B10" s="321"/>
      <c r="C10" s="321"/>
      <c r="D10" s="322" t="s">
        <v>6</v>
      </c>
      <c r="E10" s="323" t="s">
        <v>71</v>
      </c>
      <c r="F10" s="323"/>
      <c r="G10" s="917" t="s">
        <v>21</v>
      </c>
      <c r="H10" s="917"/>
      <c r="I10" s="917"/>
      <c r="J10" s="914" t="s">
        <v>68</v>
      </c>
      <c r="K10" s="914"/>
      <c r="L10" s="914"/>
      <c r="M10" s="324" t="s">
        <v>295</v>
      </c>
      <c r="N10" s="325"/>
      <c r="O10" s="322" t="s">
        <v>6</v>
      </c>
      <c r="P10" s="323" t="s">
        <v>71</v>
      </c>
      <c r="Q10" s="322" t="s">
        <v>21</v>
      </c>
      <c r="R10" s="324" t="s">
        <v>68</v>
      </c>
      <c r="S10" s="326" t="s">
        <v>294</v>
      </c>
      <c r="T10" s="325"/>
      <c r="U10" s="327" t="s">
        <v>68</v>
      </c>
      <c r="V10" s="326" t="s">
        <v>294</v>
      </c>
      <c r="W10" s="321"/>
      <c r="X10" s="321"/>
    </row>
    <row r="11" spans="1:25" s="60" customFormat="1" ht="13.8" x14ac:dyDescent="0.3">
      <c r="A11" s="109"/>
      <c r="B11" s="329"/>
      <c r="C11" s="330" t="s">
        <v>140</v>
      </c>
      <c r="D11" s="668">
        <f>WACC!$AA$25</f>
        <v>5.0683007518796994E-2</v>
      </c>
      <c r="E11" s="669">
        <v>0</v>
      </c>
      <c r="F11" s="915" t="s">
        <v>239</v>
      </c>
      <c r="G11" s="915"/>
      <c r="H11" s="915"/>
      <c r="I11" s="915"/>
      <c r="J11" s="568"/>
      <c r="K11" s="568"/>
      <c r="L11" s="568"/>
      <c r="M11" s="670">
        <f>F15/(1+D$11)^E15</f>
        <v>820.56533430614536</v>
      </c>
      <c r="O11" s="671">
        <f>WACC!$AA$25</f>
        <v>5.0683007518796994E-2</v>
      </c>
      <c r="P11" s="669">
        <v>0</v>
      </c>
      <c r="Q11" s="672" t="s">
        <v>239</v>
      </c>
      <c r="R11" s="338" t="str">
        <f>"NPV ("&amp;TEXT(O11,"0.0%")&amp;", "&amp;TEXT(Q12,"0")&amp;":"&amp;TEXT(Q15,"0")&amp;")"</f>
        <v>NPV (5.1%, 0:1000)</v>
      </c>
      <c r="S11" s="670">
        <f>NPV(O11,Q12:Q15)</f>
        <v>820.56533430614536</v>
      </c>
      <c r="U11" s="339" t="str">
        <f>"PV ("&amp;TEXT(O11,"0.0%")&amp;", "&amp;TEXT(P15,"0")&amp;", "&amp;TEXT(Q12,0)&amp;", "&amp;TEXT(Q15,"0")&amp;") * -1"</f>
        <v>PV (5.1%, 4, 0, 1000) * -1</v>
      </c>
      <c r="V11" s="670">
        <f>-PV(O11,P15,Q12,Q15)</f>
        <v>820.56533430614536</v>
      </c>
    </row>
    <row r="12" spans="1:25" s="60" customFormat="1" ht="13.8" x14ac:dyDescent="0.3">
      <c r="A12" s="109"/>
      <c r="C12" s="60" t="s">
        <v>142</v>
      </c>
      <c r="D12" s="673"/>
      <c r="E12" s="674">
        <v>1</v>
      </c>
      <c r="F12" s="916">
        <v>0</v>
      </c>
      <c r="G12" s="916"/>
      <c r="H12" s="916"/>
      <c r="I12" s="916"/>
      <c r="J12" s="26"/>
      <c r="K12" s="26"/>
      <c r="L12" s="26"/>
      <c r="M12" s="675"/>
      <c r="O12" s="676"/>
      <c r="P12" s="674">
        <v>1</v>
      </c>
      <c r="Q12" s="677">
        <v>0</v>
      </c>
      <c r="R12" s="25"/>
      <c r="S12" s="675"/>
      <c r="U12" s="569"/>
      <c r="V12" s="678"/>
    </row>
    <row r="13" spans="1:25" s="60" customFormat="1" ht="13.8" x14ac:dyDescent="0.3">
      <c r="A13" s="109"/>
      <c r="D13" s="673"/>
      <c r="E13" s="674">
        <v>2</v>
      </c>
      <c r="F13" s="916">
        <v>0</v>
      </c>
      <c r="G13" s="916"/>
      <c r="H13" s="916"/>
      <c r="I13" s="916"/>
      <c r="J13" s="26"/>
      <c r="K13" s="26"/>
      <c r="L13" s="26"/>
      <c r="M13" s="675"/>
      <c r="O13" s="676"/>
      <c r="P13" s="674">
        <v>2</v>
      </c>
      <c r="Q13" s="677">
        <v>0</v>
      </c>
      <c r="R13" s="25"/>
      <c r="S13" s="675"/>
      <c r="U13" s="569"/>
      <c r="V13" s="678"/>
    </row>
    <row r="14" spans="1:25" s="332" customFormat="1" ht="13.8" x14ac:dyDescent="0.3">
      <c r="A14" s="331"/>
      <c r="C14" s="60"/>
      <c r="D14" s="673"/>
      <c r="E14" s="674">
        <v>3</v>
      </c>
      <c r="F14" s="916">
        <v>0</v>
      </c>
      <c r="G14" s="916"/>
      <c r="H14" s="916"/>
      <c r="I14" s="916"/>
      <c r="J14" s="26"/>
      <c r="K14" s="26"/>
      <c r="L14" s="26"/>
      <c r="M14" s="675"/>
      <c r="N14" s="60"/>
      <c r="O14" s="676"/>
      <c r="P14" s="674">
        <v>3</v>
      </c>
      <c r="Q14" s="677">
        <v>0</v>
      </c>
      <c r="R14" s="25"/>
      <c r="S14" s="675"/>
      <c r="T14" s="60"/>
      <c r="U14" s="570"/>
      <c r="V14" s="678"/>
    </row>
    <row r="15" spans="1:25" s="111" customFormat="1" ht="14.4" customHeight="1" x14ac:dyDescent="0.3">
      <c r="A15" s="109"/>
      <c r="C15" s="60"/>
      <c r="D15" s="679"/>
      <c r="E15" s="680">
        <v>4</v>
      </c>
      <c r="F15" s="918">
        <v>1000</v>
      </c>
      <c r="G15" s="918"/>
      <c r="H15" s="918"/>
      <c r="I15" s="918"/>
      <c r="J15" s="912" t="str">
        <f>TEXT(F15,"0")&amp;"/"&amp;TEXT(1+$D$11,"0.000")&amp;" ^ "&amp;TEXT(E15,0)</f>
        <v>1000/1.051 ^ 4</v>
      </c>
      <c r="K15" s="912"/>
      <c r="L15" s="912"/>
      <c r="M15" s="681">
        <f>F15/(1+D$11)^E15</f>
        <v>820.56533430614536</v>
      </c>
      <c r="O15" s="682"/>
      <c r="P15" s="680">
        <v>4</v>
      </c>
      <c r="Q15" s="683">
        <v>1000</v>
      </c>
      <c r="R15" s="131"/>
      <c r="S15" s="681"/>
      <c r="U15" s="130"/>
      <c r="V15" s="684"/>
    </row>
    <row r="16" spans="1:25" s="60" customFormat="1" ht="13.8" x14ac:dyDescent="0.3">
      <c r="A16" s="109"/>
      <c r="B16" s="111"/>
      <c r="C16" s="330" t="s">
        <v>139</v>
      </c>
      <c r="D16" s="685">
        <f>WACC!$AA$25</f>
        <v>5.0683007518796994E-2</v>
      </c>
      <c r="E16" s="674">
        <v>0</v>
      </c>
      <c r="F16" s="916" t="s">
        <v>239</v>
      </c>
      <c r="G16" s="916"/>
      <c r="H16" s="916"/>
      <c r="I16" s="916"/>
      <c r="J16" s="26"/>
      <c r="K16" s="26"/>
      <c r="L16" s="26"/>
      <c r="M16" s="686">
        <f>SUM(M17:M20)</f>
        <v>997.58192672847451</v>
      </c>
      <c r="O16" s="676">
        <f>WACC!$AA$25</f>
        <v>5.0683007518796994E-2</v>
      </c>
      <c r="P16" s="674">
        <v>0</v>
      </c>
      <c r="Q16" s="677" t="s">
        <v>239</v>
      </c>
      <c r="R16" s="25" t="str">
        <f>"NPV ("&amp;TEXT(O16,"0.0%")&amp;", "&amp;TEXT(Q17,"0")&amp;":"&amp;TEXT(Q20,"0")&amp;")"</f>
        <v>NPV (5.1%, 50:1050)</v>
      </c>
      <c r="S16" s="686">
        <f>NPV(O16,Q17:Q20)</f>
        <v>997.5819267284744</v>
      </c>
      <c r="U16" s="340" t="str">
        <f>"PV ("&amp;TEXT(O16,"0.0%")&amp;", "&amp;TEXT(P20,"0")&amp;", "&amp;TEXT(Q17,0)&amp;", "&amp;TEXT(Q20,"0")&amp;") * -1"</f>
        <v>PV (5.1%, 4, 50, 1050) * -1</v>
      </c>
      <c r="V16" s="686">
        <f>-PV(O16,P20,Q17,Q20-Q17)</f>
        <v>997.58192672847451</v>
      </c>
    </row>
    <row r="17" spans="1:22" s="60" customFormat="1" ht="13.8" x14ac:dyDescent="0.3">
      <c r="A17" s="109"/>
      <c r="C17" s="60" t="s">
        <v>137</v>
      </c>
      <c r="D17" s="673"/>
      <c r="E17" s="687">
        <v>1</v>
      </c>
      <c r="F17" s="916">
        <v>50</v>
      </c>
      <c r="G17" s="916"/>
      <c r="H17" s="916"/>
      <c r="I17" s="916"/>
      <c r="J17" s="913" t="str">
        <f>TEXT(F17,"0")&amp;"/"&amp;TEXT(1+$D$16,"0.000")&amp;" ^ "&amp;TEXT(E17,0)</f>
        <v>50/1.051 ^ 1</v>
      </c>
      <c r="K17" s="913"/>
      <c r="L17" s="913"/>
      <c r="M17" s="675">
        <f>F17/(1+D$16)^E17</f>
        <v>47.588092357252187</v>
      </c>
      <c r="O17" s="676"/>
      <c r="P17" s="687">
        <v>1</v>
      </c>
      <c r="Q17" s="677">
        <v>50</v>
      </c>
      <c r="R17" s="25"/>
      <c r="S17" s="675"/>
      <c r="U17" s="569"/>
      <c r="V17" s="678"/>
    </row>
    <row r="18" spans="1:22" s="60" customFormat="1" ht="13.8" x14ac:dyDescent="0.3">
      <c r="A18" s="109"/>
      <c r="D18" s="688"/>
      <c r="E18" s="687">
        <v>2</v>
      </c>
      <c r="F18" s="916">
        <v>50</v>
      </c>
      <c r="G18" s="916"/>
      <c r="H18" s="916"/>
      <c r="I18" s="916"/>
      <c r="J18" s="913" t="str">
        <f>TEXT(F18,"0")&amp;"/"&amp;TEXT(1+$D$16,"0.000")&amp;" ^ "&amp;TEXT(E18,0)</f>
        <v>50/1.051 ^ 2</v>
      </c>
      <c r="K18" s="913"/>
      <c r="L18" s="913"/>
      <c r="M18" s="675">
        <f>F18/(1+D$16)^E18</f>
        <v>45.292530684047271</v>
      </c>
      <c r="O18" s="676"/>
      <c r="P18" s="687">
        <v>2</v>
      </c>
      <c r="Q18" s="677">
        <v>50</v>
      </c>
      <c r="R18" s="25"/>
      <c r="S18" s="675"/>
      <c r="U18" s="569"/>
      <c r="V18" s="678"/>
    </row>
    <row r="19" spans="1:22" s="60" customFormat="1" ht="13.8" x14ac:dyDescent="0.3">
      <c r="A19" s="109"/>
      <c r="D19" s="673"/>
      <c r="E19" s="687">
        <v>3</v>
      </c>
      <c r="F19" s="916">
        <v>50</v>
      </c>
      <c r="G19" s="916"/>
      <c r="H19" s="916"/>
      <c r="I19" s="916"/>
      <c r="J19" s="913" t="str">
        <f>TEXT(F19,"0")&amp;"/"&amp;TEXT(1+$D$16,"0.000")&amp;" ^ "&amp;TEXT(E19,0)</f>
        <v>50/1.051 ^ 3</v>
      </c>
      <c r="K19" s="913"/>
      <c r="L19" s="913"/>
      <c r="M19" s="675">
        <f>F19/(1+D$16)^E19</f>
        <v>43.107702665722393</v>
      </c>
      <c r="O19" s="676"/>
      <c r="P19" s="687">
        <v>3</v>
      </c>
      <c r="Q19" s="677">
        <v>50</v>
      </c>
      <c r="R19" s="25"/>
      <c r="S19" s="675"/>
      <c r="U19" s="570"/>
      <c r="V19" s="678"/>
    </row>
    <row r="20" spans="1:22" s="60" customFormat="1" ht="13.8" x14ac:dyDescent="0.3">
      <c r="A20" s="109"/>
      <c r="C20" s="333"/>
      <c r="D20" s="679"/>
      <c r="E20" s="680">
        <v>4</v>
      </c>
      <c r="F20" s="918">
        <v>1050</v>
      </c>
      <c r="G20" s="918"/>
      <c r="H20" s="918"/>
      <c r="I20" s="918"/>
      <c r="J20" s="912" t="str">
        <f>TEXT(F20,"0")&amp;"/"&amp;TEXT(1+$D$16,"0.000")&amp;" ^ "&amp;TEXT(E20,0)</f>
        <v>1050/1.051 ^ 4</v>
      </c>
      <c r="K20" s="912"/>
      <c r="L20" s="912"/>
      <c r="M20" s="681">
        <f>F20/(1+$D$16)^E20</f>
        <v>861.59360102145263</v>
      </c>
      <c r="N20" s="111"/>
      <c r="O20" s="682"/>
      <c r="P20" s="689">
        <v>4</v>
      </c>
      <c r="Q20" s="683">
        <v>1050</v>
      </c>
      <c r="R20" s="131"/>
      <c r="S20" s="681"/>
      <c r="T20" s="111"/>
      <c r="U20" s="130"/>
      <c r="V20" s="690"/>
    </row>
    <row r="21" spans="1:22" s="60" customFormat="1" ht="13.8" x14ac:dyDescent="0.3">
      <c r="A21" s="109"/>
      <c r="C21" s="330" t="s">
        <v>141</v>
      </c>
      <c r="D21" s="685">
        <f>WACC!$AA$25</f>
        <v>5.0683007518796994E-2</v>
      </c>
      <c r="E21" s="674">
        <v>0</v>
      </c>
      <c r="F21" s="916" t="s">
        <v>239</v>
      </c>
      <c r="G21" s="916"/>
      <c r="H21" s="916"/>
      <c r="I21" s="916"/>
      <c r="J21" s="26"/>
      <c r="K21" s="26"/>
      <c r="L21" s="571"/>
      <c r="M21" s="686">
        <f>SUM(M22:M25)</f>
        <v>732.05703809498073</v>
      </c>
      <c r="O21" s="676">
        <f>WACC!$AA$25</f>
        <v>5.0683007518796994E-2</v>
      </c>
      <c r="P21" s="674">
        <v>0</v>
      </c>
      <c r="Q21" s="677" t="s">
        <v>239</v>
      </c>
      <c r="R21" s="25" t="str">
        <f>"NPV ("&amp;TEXT(O21,"0.0%")&amp;", "&amp;TEXT(Q22,"0")&amp;":"&amp;TEXT(Q25,"0")&amp;")"</f>
        <v>NPV (5.1%, -25:975)</v>
      </c>
      <c r="S21" s="686">
        <f>NPV(O21,Q22:Q25)</f>
        <v>732.05703809498084</v>
      </c>
      <c r="U21" s="340" t="str">
        <f>"PV ("&amp;TEXT(O21,"0.0%")&amp;", "&amp;TEXT(P25,"0")&amp;", "&amp;TEXT(Q22,0)&amp;", "&amp;TEXT(Q25,"0")&amp;") * -1"</f>
        <v>PV (5.1%, 4, -25, 975) * -1</v>
      </c>
      <c r="V21" s="686">
        <f>-PV(O21,P25,Q22,Q25-Q22)</f>
        <v>732.05703809498073</v>
      </c>
    </row>
    <row r="22" spans="1:22" s="60" customFormat="1" ht="13.8" x14ac:dyDescent="0.3">
      <c r="A22" s="109"/>
      <c r="C22" s="60" t="s">
        <v>145</v>
      </c>
      <c r="D22" s="685"/>
      <c r="E22" s="687">
        <v>1</v>
      </c>
      <c r="F22" s="916">
        <v>-25</v>
      </c>
      <c r="G22" s="916"/>
      <c r="H22" s="916"/>
      <c r="I22" s="916"/>
      <c r="J22" s="913" t="str">
        <f>TEXT(F22,"0")&amp;"/"&amp;TEXT(1+$D$21,"0.000")&amp;" ^ "&amp;TEXT(E22,0)</f>
        <v>-25/1.051 ^ 1</v>
      </c>
      <c r="K22" s="913"/>
      <c r="L22" s="913"/>
      <c r="M22" s="675">
        <f>F22/(1+D$21)^E22</f>
        <v>-23.794046178626093</v>
      </c>
      <c r="O22" s="676"/>
      <c r="P22" s="687">
        <v>1</v>
      </c>
      <c r="Q22" s="677">
        <v>-25</v>
      </c>
      <c r="R22" s="25"/>
      <c r="S22" s="675"/>
      <c r="U22" s="569"/>
      <c r="V22" s="678"/>
    </row>
    <row r="23" spans="1:22" s="60" customFormat="1" ht="13.8" x14ac:dyDescent="0.3">
      <c r="A23" s="109"/>
      <c r="D23" s="685"/>
      <c r="E23" s="687">
        <v>2</v>
      </c>
      <c r="F23" s="916">
        <v>-25</v>
      </c>
      <c r="G23" s="916"/>
      <c r="H23" s="916"/>
      <c r="I23" s="916"/>
      <c r="J23" s="913" t="str">
        <f>TEXT(F23,"0")&amp;"/"&amp;TEXT(1+$D$21,"0.000")&amp;" ^ "&amp;TEXT(E23,0)</f>
        <v>-25/1.051 ^ 2</v>
      </c>
      <c r="K23" s="913"/>
      <c r="L23" s="913"/>
      <c r="M23" s="675">
        <f>F23/(1+D$21)^E23</f>
        <v>-22.646265342023636</v>
      </c>
      <c r="O23" s="676"/>
      <c r="P23" s="687">
        <v>2</v>
      </c>
      <c r="Q23" s="677">
        <v>-25</v>
      </c>
      <c r="R23" s="25"/>
      <c r="S23" s="675"/>
      <c r="U23" s="569"/>
      <c r="V23" s="678"/>
    </row>
    <row r="24" spans="1:22" s="60" customFormat="1" ht="13.8" x14ac:dyDescent="0.3">
      <c r="A24" s="109"/>
      <c r="D24" s="685"/>
      <c r="E24" s="687">
        <v>3</v>
      </c>
      <c r="F24" s="916">
        <v>-25</v>
      </c>
      <c r="G24" s="916"/>
      <c r="H24" s="916"/>
      <c r="I24" s="916"/>
      <c r="J24" s="913" t="str">
        <f>TEXT(F24,"0")&amp;"/"&amp;TEXT(1+$D$21,"0.000")&amp;" ^ "&amp;TEXT(E24,0)</f>
        <v>-25/1.051 ^ 3</v>
      </c>
      <c r="K24" s="913"/>
      <c r="L24" s="913"/>
      <c r="M24" s="675">
        <f>F24/(1+D$21)^E24</f>
        <v>-21.553851332861196</v>
      </c>
      <c r="O24" s="676"/>
      <c r="P24" s="687">
        <v>3</v>
      </c>
      <c r="Q24" s="677">
        <v>-25</v>
      </c>
      <c r="R24" s="25"/>
      <c r="S24" s="675"/>
      <c r="U24" s="569"/>
      <c r="V24" s="678"/>
    </row>
    <row r="25" spans="1:22" s="60" customFormat="1" ht="13.8" x14ac:dyDescent="0.3">
      <c r="A25" s="109"/>
      <c r="D25" s="691"/>
      <c r="E25" s="692">
        <v>4</v>
      </c>
      <c r="F25" s="919">
        <v>975</v>
      </c>
      <c r="G25" s="919"/>
      <c r="H25" s="919"/>
      <c r="I25" s="919"/>
      <c r="J25" s="911" t="str">
        <f>TEXT(F25,"0")&amp;"/"&amp;TEXT(1+$D$21,"0.000")&amp;" ^ "&amp;TEXT(E25,0)</f>
        <v>975/1.051 ^ 4</v>
      </c>
      <c r="K25" s="911"/>
      <c r="L25" s="911"/>
      <c r="M25" s="693">
        <f>F25/(1+D$21)^E25</f>
        <v>800.05120094849167</v>
      </c>
      <c r="N25" s="111"/>
      <c r="O25" s="694"/>
      <c r="P25" s="692">
        <v>4</v>
      </c>
      <c r="Q25" s="695">
        <v>975</v>
      </c>
      <c r="R25" s="572"/>
      <c r="S25" s="693"/>
      <c r="T25" s="111"/>
      <c r="U25" s="573"/>
      <c r="V25" s="696"/>
    </row>
    <row r="26" spans="1:22" x14ac:dyDescent="0.3">
      <c r="O26" s="334"/>
    </row>
    <row r="27" spans="1:22" x14ac:dyDescent="0.3">
      <c r="I27" s="311"/>
      <c r="J27" s="311"/>
      <c r="K27" s="311"/>
      <c r="L27" s="311"/>
      <c r="M27" s="311"/>
      <c r="Q27" s="311"/>
      <c r="R27" s="311"/>
    </row>
    <row r="28" spans="1:22" s="335" customFormat="1" x14ac:dyDescent="0.3">
      <c r="A28" s="81"/>
      <c r="S28" s="336"/>
    </row>
    <row r="29" spans="1:22" x14ac:dyDescent="0.3">
      <c r="I29" s="311"/>
      <c r="J29" s="311"/>
      <c r="K29" s="311"/>
      <c r="L29" s="311"/>
      <c r="M29" s="311"/>
      <c r="Q29" s="311"/>
      <c r="R29" s="311"/>
    </row>
    <row r="30" spans="1:22" x14ac:dyDescent="0.3">
      <c r="I30" s="311"/>
      <c r="J30" s="311"/>
      <c r="K30" s="311"/>
      <c r="L30" s="311"/>
      <c r="M30" s="311"/>
      <c r="Q30" s="311"/>
      <c r="R30" s="311"/>
    </row>
    <row r="31" spans="1:22" x14ac:dyDescent="0.3">
      <c r="I31" s="311"/>
      <c r="J31" s="311"/>
      <c r="K31" s="311"/>
      <c r="L31" s="311"/>
      <c r="M31" s="311"/>
      <c r="Q31" s="311"/>
      <c r="R31" s="311"/>
    </row>
    <row r="32" spans="1:22" x14ac:dyDescent="0.3">
      <c r="I32" s="311"/>
      <c r="J32" s="311"/>
      <c r="K32" s="311"/>
      <c r="L32" s="311"/>
      <c r="M32" s="311"/>
      <c r="Q32" s="311"/>
      <c r="R32" s="311"/>
    </row>
    <row r="33" spans="9:18" x14ac:dyDescent="0.3">
      <c r="I33" s="311"/>
      <c r="J33" s="311"/>
      <c r="K33" s="311"/>
      <c r="L33" s="311"/>
      <c r="M33" s="311"/>
      <c r="Q33" s="311"/>
      <c r="R33" s="311"/>
    </row>
  </sheetData>
  <sheetProtection algorithmName="SHA-512" hashValue="qI7MzouEkD3WCrEKFUYPfEq/IYfRANnLPO7+cBk7OG3ztpNtqgrh5YWCaNLERMd+0h8gThmD186g5k17D+dyOg==" saltValue="zMJLIdLfqk2rxWNL5oOTSw==" spinCount="100000" sheet="1" objects="1" scenarios="1" selectLockedCells="1" selectUnlockedCells="1"/>
  <mergeCells count="33">
    <mergeCell ref="F25:I25"/>
    <mergeCell ref="F14:I14"/>
    <mergeCell ref="F15:I15"/>
    <mergeCell ref="F16:I16"/>
    <mergeCell ref="F17:I17"/>
    <mergeCell ref="F18:I18"/>
    <mergeCell ref="F21:I21"/>
    <mergeCell ref="F22:I22"/>
    <mergeCell ref="F23:I23"/>
    <mergeCell ref="F24:I24"/>
    <mergeCell ref="J10:L10"/>
    <mergeCell ref="F11:I11"/>
    <mergeCell ref="F12:I12"/>
    <mergeCell ref="J23:L23"/>
    <mergeCell ref="J24:L24"/>
    <mergeCell ref="F19:I19"/>
    <mergeCell ref="G10:I10"/>
    <mergeCell ref="F20:I20"/>
    <mergeCell ref="F13:I13"/>
    <mergeCell ref="J25:L25"/>
    <mergeCell ref="J15:L15"/>
    <mergeCell ref="J17:L17"/>
    <mergeCell ref="J18:L18"/>
    <mergeCell ref="J19:L19"/>
    <mergeCell ref="J20:L20"/>
    <mergeCell ref="J22:L22"/>
    <mergeCell ref="U3:V3"/>
    <mergeCell ref="D7:F8"/>
    <mergeCell ref="J7:K7"/>
    <mergeCell ref="J8:K8"/>
    <mergeCell ref="G7:G8"/>
    <mergeCell ref="H8:I8"/>
    <mergeCell ref="H7:I7"/>
  </mergeCells>
  <printOptions horizontalCentered="1"/>
  <pageMargins left="0.5" right="0.5" top="0.75" bottom="0.5" header="0.5" footer="0.5"/>
  <pageSetup orientation="landscape" r:id="rId1"/>
  <headerFooter scaleWithDoc="0" alignWithMargins="0">
    <oddFooter>&amp;LPresent Value&amp;RPage &amp;P of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318F-4DA4-42BB-A51E-44D574CD40BD}">
  <sheetPr codeName="Sheet6">
    <tabColor rgb="FFF0D3D2"/>
    <pageSetUpPr fitToPage="1"/>
  </sheetPr>
  <dimension ref="A1:Z32"/>
  <sheetViews>
    <sheetView showGridLines="0" showRowColHeaders="0" zoomScaleNormal="100" zoomScaleSheetLayoutView="75" workbookViewId="0"/>
  </sheetViews>
  <sheetFormatPr defaultColWidth="9.21875" defaultRowHeight="14.4" x14ac:dyDescent="0.3"/>
  <cols>
    <col min="1" max="1" width="3.109375" style="81" customWidth="1"/>
    <col min="2" max="2" width="5.5546875" style="311" customWidth="1"/>
    <col min="3" max="3" width="25" style="311" customWidth="1"/>
    <col min="4" max="4" width="5.6640625" style="311" customWidth="1"/>
    <col min="5" max="5" width="3.109375" style="311" customWidth="1"/>
    <col min="6" max="6" width="1.21875" style="311" customWidth="1"/>
    <col min="7" max="7" width="3.109375" style="311" customWidth="1"/>
    <col min="8" max="8" width="1.77734375" style="311" customWidth="1"/>
    <col min="9" max="9" width="2.109375" style="334" customWidth="1"/>
    <col min="10" max="10" width="2.21875" style="334" customWidth="1"/>
    <col min="11" max="11" width="6.88671875" style="334" customWidth="1"/>
    <col min="12" max="12" width="5.77734375" style="334" customWidth="1"/>
    <col min="13" max="13" width="6.77734375" style="312" bestFit="1" customWidth="1"/>
    <col min="14" max="14" width="1.6640625" style="311" customWidth="1"/>
    <col min="15" max="15" width="8.77734375" style="311" customWidth="1"/>
    <col min="16" max="16" width="13.5546875" style="311" customWidth="1"/>
    <col min="17" max="17" width="8" style="311" customWidth="1"/>
    <col min="18" max="18" width="22.21875" style="311" customWidth="1"/>
    <col min="19" max="16384" width="9.21875" style="311"/>
  </cols>
  <sheetData>
    <row r="1" spans="1:26" s="67" customFormat="1" ht="8.4" customHeight="1" x14ac:dyDescent="0.2">
      <c r="A1" s="885" t="s">
        <v>59</v>
      </c>
      <c r="E1" s="68"/>
      <c r="H1" s="167"/>
      <c r="X1" s="69"/>
    </row>
    <row r="2" spans="1:26" s="72" customFormat="1" ht="23.4" x14ac:dyDescent="0.45">
      <c r="A2" s="70"/>
      <c r="C2" s="71" t="s">
        <v>46</v>
      </c>
      <c r="D2" s="71"/>
      <c r="E2" s="71"/>
      <c r="F2" s="71"/>
      <c r="I2" s="73"/>
      <c r="J2" s="73"/>
      <c r="K2" s="73"/>
      <c r="L2" s="73"/>
      <c r="M2" s="306"/>
    </row>
    <row r="3" spans="1:26" s="77" customFormat="1" ht="18" x14ac:dyDescent="0.35">
      <c r="A3" s="75"/>
      <c r="C3" s="76" t="s">
        <v>128</v>
      </c>
      <c r="D3" s="307"/>
      <c r="E3" s="307"/>
      <c r="F3" s="307"/>
      <c r="I3" s="78"/>
      <c r="J3" s="78"/>
      <c r="K3" s="78"/>
      <c r="M3" s="308"/>
      <c r="P3" s="898"/>
      <c r="Q3" s="898"/>
    </row>
    <row r="4" spans="1:26" s="85" customFormat="1" x14ac:dyDescent="0.3">
      <c r="A4" s="81"/>
      <c r="C4" s="82"/>
      <c r="D4" s="82"/>
      <c r="E4" s="82"/>
      <c r="F4" s="82"/>
      <c r="G4" s="83"/>
      <c r="H4" s="83"/>
      <c r="I4" s="84"/>
      <c r="J4" s="83"/>
      <c r="K4" s="83"/>
      <c r="L4" s="83"/>
      <c r="M4" s="87"/>
      <c r="N4" s="83"/>
    </row>
    <row r="5" spans="1:26" s="85" customFormat="1" ht="15.6" x14ac:dyDescent="0.3">
      <c r="A5" s="81"/>
      <c r="C5" s="83" t="s">
        <v>230</v>
      </c>
      <c r="D5" s="83"/>
      <c r="E5" s="83"/>
      <c r="F5" s="83"/>
      <c r="G5" s="83"/>
      <c r="H5" s="83"/>
      <c r="I5" s="83"/>
      <c r="J5" s="83"/>
      <c r="K5" s="83"/>
      <c r="L5" s="83"/>
      <c r="M5" s="181"/>
      <c r="N5" s="83"/>
      <c r="O5" s="83"/>
      <c r="P5" s="83"/>
      <c r="Q5" s="83"/>
      <c r="T5" s="87"/>
      <c r="W5" s="88"/>
      <c r="X5" s="88"/>
      <c r="Y5" s="88"/>
      <c r="Z5" s="88"/>
    </row>
    <row r="6" spans="1:26" s="85" customFormat="1" ht="9.6" customHeight="1" x14ac:dyDescent="0.3">
      <c r="A6" s="81"/>
      <c r="G6" s="89"/>
      <c r="I6" s="90"/>
      <c r="J6" s="91"/>
      <c r="K6" s="90"/>
      <c r="O6" s="88"/>
      <c r="P6" s="88"/>
      <c r="R6" s="91"/>
      <c r="S6" s="90"/>
      <c r="V6" s="88"/>
      <c r="W6" s="83"/>
      <c r="X6" s="230"/>
    </row>
    <row r="7" spans="1:26" x14ac:dyDescent="0.3">
      <c r="C7" s="108" t="s">
        <v>136</v>
      </c>
      <c r="D7" s="905" t="s">
        <v>184</v>
      </c>
      <c r="E7" s="905"/>
      <c r="F7" s="905"/>
      <c r="G7" s="908" t="s">
        <v>69</v>
      </c>
      <c r="H7" s="910" t="s">
        <v>79</v>
      </c>
      <c r="I7" s="910"/>
      <c r="J7" s="906" t="s">
        <v>94</v>
      </c>
      <c r="K7" s="906"/>
      <c r="L7" s="64"/>
      <c r="O7" s="313" t="s">
        <v>315</v>
      </c>
      <c r="P7" s="313"/>
    </row>
    <row r="8" spans="1:26" x14ac:dyDescent="0.3">
      <c r="C8" s="108" t="s">
        <v>158</v>
      </c>
      <c r="D8" s="905"/>
      <c r="E8" s="905"/>
      <c r="F8" s="905"/>
      <c r="G8" s="908"/>
      <c r="H8" s="909" t="s">
        <v>70</v>
      </c>
      <c r="I8" s="909"/>
      <c r="J8" s="907" t="s">
        <v>248</v>
      </c>
      <c r="K8" s="907"/>
      <c r="L8" s="316"/>
      <c r="O8" s="341" t="s">
        <v>210</v>
      </c>
      <c r="P8" s="341"/>
    </row>
    <row r="9" spans="1:26" s="85" customFormat="1" ht="9.6" customHeight="1" x14ac:dyDescent="0.3">
      <c r="A9" s="81"/>
      <c r="G9" s="89"/>
      <c r="I9" s="90"/>
      <c r="J9" s="91"/>
      <c r="K9" s="90"/>
      <c r="O9" s="88"/>
      <c r="P9" s="88"/>
      <c r="R9" s="91"/>
      <c r="S9" s="90"/>
      <c r="V9" s="88"/>
      <c r="W9" s="83"/>
      <c r="X9" s="230"/>
    </row>
    <row r="10" spans="1:26" s="346" customFormat="1" ht="15" customHeight="1" x14ac:dyDescent="0.3">
      <c r="A10" s="101"/>
      <c r="B10" s="103"/>
      <c r="C10" s="103"/>
      <c r="D10" s="342" t="s">
        <v>6</v>
      </c>
      <c r="E10" s="343" t="s">
        <v>71</v>
      </c>
      <c r="F10" s="343"/>
      <c r="G10" s="920" t="s">
        <v>21</v>
      </c>
      <c r="H10" s="920"/>
      <c r="I10" s="920"/>
      <c r="J10" s="921" t="s">
        <v>68</v>
      </c>
      <c r="K10" s="921"/>
      <c r="L10" s="921"/>
      <c r="M10" s="344" t="s">
        <v>90</v>
      </c>
      <c r="N10" s="345"/>
      <c r="O10" s="344" t="s">
        <v>68</v>
      </c>
      <c r="P10" s="344"/>
      <c r="Q10" s="344" t="s">
        <v>90</v>
      </c>
      <c r="R10" s="103"/>
      <c r="S10" s="103"/>
    </row>
    <row r="11" spans="1:26" s="60" customFormat="1" ht="13.8" x14ac:dyDescent="0.3">
      <c r="A11" s="109"/>
      <c r="B11" s="329"/>
      <c r="C11" s="330" t="s">
        <v>140</v>
      </c>
      <c r="D11" s="668">
        <f>WACC!$AA$25</f>
        <v>5.0683007518796994E-2</v>
      </c>
      <c r="E11" s="669">
        <v>0</v>
      </c>
      <c r="F11" s="915">
        <v>-1000</v>
      </c>
      <c r="G11" s="915"/>
      <c r="H11" s="915"/>
      <c r="I11" s="915"/>
      <c r="J11" s="925" t="str">
        <f>TEXT(-F11,"0")&amp;" * "&amp;TEXT(1+$D$11,"0.000")&amp;" ^ "&amp;TEXT(E15,0)</f>
        <v>1000 * 1.051 ^ 4</v>
      </c>
      <c r="K11" s="925"/>
      <c r="L11" s="925"/>
      <c r="M11" s="670"/>
      <c r="O11" s="349" t="str">
        <f>"FV ("&amp;TEXT(D11,"0.0%")&amp;", "&amp;TEXT(E15,"0")&amp;", "&amp;TEXT(F12,0)&amp;", "&amp;TEXT(F11,"0")&amp;")"</f>
        <v>FV (5.1%, 4, 0, -1000)</v>
      </c>
      <c r="P11" s="877"/>
      <c r="Q11" s="670">
        <f>FV(D11,E15,F12,F11)</f>
        <v>1218.6720035468977</v>
      </c>
    </row>
    <row r="12" spans="1:26" s="60" customFormat="1" ht="13.8" x14ac:dyDescent="0.3">
      <c r="A12" s="109"/>
      <c r="C12" s="60" t="s">
        <v>143</v>
      </c>
      <c r="D12" s="673"/>
      <c r="E12" s="674">
        <v>1</v>
      </c>
      <c r="F12" s="916">
        <v>0</v>
      </c>
      <c r="G12" s="916"/>
      <c r="H12" s="916"/>
      <c r="I12" s="916"/>
      <c r="J12" s="26"/>
      <c r="K12" s="26"/>
      <c r="L12" s="26"/>
      <c r="M12" s="675"/>
      <c r="O12" s="569"/>
      <c r="P12" s="25"/>
      <c r="Q12" s="697"/>
    </row>
    <row r="13" spans="1:26" s="60" customFormat="1" ht="13.8" x14ac:dyDescent="0.3">
      <c r="A13" s="109"/>
      <c r="D13" s="673"/>
      <c r="E13" s="674">
        <v>2</v>
      </c>
      <c r="F13" s="916">
        <v>0</v>
      </c>
      <c r="G13" s="916"/>
      <c r="H13" s="916"/>
      <c r="I13" s="916"/>
      <c r="J13" s="26"/>
      <c r="K13" s="26"/>
      <c r="L13" s="26"/>
      <c r="M13" s="675"/>
      <c r="O13" s="569"/>
      <c r="P13" s="25"/>
      <c r="Q13" s="678"/>
    </row>
    <row r="14" spans="1:26" s="332" customFormat="1" ht="13.8" x14ac:dyDescent="0.3">
      <c r="A14" s="331"/>
      <c r="D14" s="673"/>
      <c r="E14" s="674">
        <v>3</v>
      </c>
      <c r="F14" s="916">
        <v>0</v>
      </c>
      <c r="G14" s="916"/>
      <c r="H14" s="916"/>
      <c r="I14" s="916"/>
      <c r="J14" s="26"/>
      <c r="K14" s="26"/>
      <c r="L14" s="26"/>
      <c r="M14" s="675"/>
      <c r="N14" s="60"/>
      <c r="O14" s="570"/>
      <c r="P14" s="878"/>
      <c r="Q14" s="698"/>
    </row>
    <row r="15" spans="1:26" s="111" customFormat="1" ht="13.8" x14ac:dyDescent="0.3">
      <c r="A15" s="109"/>
      <c r="C15" s="141"/>
      <c r="D15" s="679"/>
      <c r="E15" s="680">
        <v>4</v>
      </c>
      <c r="F15" s="918" t="s">
        <v>239</v>
      </c>
      <c r="G15" s="923"/>
      <c r="H15" s="923"/>
      <c r="I15" s="923"/>
      <c r="J15" s="912"/>
      <c r="K15" s="912"/>
      <c r="L15" s="912"/>
      <c r="M15" s="699">
        <f>-F11*(1+D$11)^E15</f>
        <v>1218.6720035468977</v>
      </c>
      <c r="O15" s="130"/>
      <c r="P15" s="131"/>
      <c r="Q15" s="700"/>
    </row>
    <row r="16" spans="1:26" s="60" customFormat="1" ht="13.8" x14ac:dyDescent="0.3">
      <c r="A16" s="109"/>
      <c r="C16" s="330" t="s">
        <v>139</v>
      </c>
      <c r="D16" s="685">
        <f>WACC!$AA$25</f>
        <v>5.0683007518796994E-2</v>
      </c>
      <c r="E16" s="674">
        <v>0</v>
      </c>
      <c r="F16" s="916">
        <v>-1000</v>
      </c>
      <c r="G16" s="916"/>
      <c r="H16" s="916"/>
      <c r="I16" s="916"/>
      <c r="J16" s="924" t="str">
        <f>TEXT(-F16,"0")&amp;" * "&amp;TEXT(1+$D$16,"0.000")&amp;" ^ "&amp;TEXT(E20,0)</f>
        <v>1000 * 1.051 ^ 4</v>
      </c>
      <c r="K16" s="924"/>
      <c r="L16" s="924"/>
      <c r="M16" s="701">
        <f>-F16*(1+D$16)^E20</f>
        <v>1218.6720035468977</v>
      </c>
      <c r="O16" s="350" t="str">
        <f>"FV ("&amp;TEXT(D16,"0.0%")&amp;", "&amp;TEXT(E20,"0")&amp;", "&amp;TEXT(F17,0)&amp;", "&amp;TEXT(F16,"0")&amp;")"</f>
        <v>FV (5.1%, 4, 50, -1000)</v>
      </c>
      <c r="P16" s="879"/>
      <c r="Q16" s="702">
        <f>FV(D16,E20,-F17,F16)</f>
        <v>1434.3971688952622</v>
      </c>
    </row>
    <row r="17" spans="1:20" s="60" customFormat="1" ht="13.8" x14ac:dyDescent="0.3">
      <c r="A17" s="109"/>
      <c r="C17" s="60" t="s">
        <v>138</v>
      </c>
      <c r="D17" s="673"/>
      <c r="E17" s="687">
        <v>1</v>
      </c>
      <c r="F17" s="916">
        <v>50</v>
      </c>
      <c r="G17" s="916"/>
      <c r="H17" s="916"/>
      <c r="I17" s="916"/>
      <c r="J17" s="922" t="str">
        <f>TEXT(-F17,"0")&amp;" * "&amp;TEXT(1+$D$16,"0.000")&amp;" ^ "&amp;TEXT(E19,0)</f>
        <v>-50 * 1.051 ^ 3</v>
      </c>
      <c r="K17" s="922"/>
      <c r="L17" s="922"/>
      <c r="M17" s="675">
        <f>F17*(1+D$16)^E19</f>
        <v>57.994275857987319</v>
      </c>
      <c r="O17" s="569"/>
      <c r="P17" s="25"/>
      <c r="Q17" s="697"/>
    </row>
    <row r="18" spans="1:20" s="60" customFormat="1" ht="13.8" x14ac:dyDescent="0.3">
      <c r="A18" s="109"/>
      <c r="D18" s="688"/>
      <c r="E18" s="687">
        <v>2</v>
      </c>
      <c r="F18" s="916">
        <v>50</v>
      </c>
      <c r="G18" s="916"/>
      <c r="H18" s="916"/>
      <c r="I18" s="916"/>
      <c r="J18" s="922" t="str">
        <f>TEXT(-F18,"0")&amp;" * "&amp;TEXT(1+$D$16,"0.000")&amp;" ^ "&amp;TEXT(E18,0)</f>
        <v>-50 * 1.051 ^ 2</v>
      </c>
      <c r="K18" s="922"/>
      <c r="L18" s="922"/>
      <c r="M18" s="675">
        <f>F18*(1+D$16)^E18</f>
        <v>55.196739114437221</v>
      </c>
      <c r="O18" s="569"/>
      <c r="P18" s="25"/>
      <c r="Q18" s="698"/>
    </row>
    <row r="19" spans="1:20" s="60" customFormat="1" ht="13.8" x14ac:dyDescent="0.3">
      <c r="A19" s="109"/>
      <c r="D19" s="673"/>
      <c r="E19" s="687">
        <v>3</v>
      </c>
      <c r="F19" s="916">
        <v>50</v>
      </c>
      <c r="G19" s="916"/>
      <c r="H19" s="916"/>
      <c r="I19" s="916"/>
      <c r="J19" s="922" t="str">
        <f>TEXT(-F17,"0")&amp;" * "&amp;TEXT(1+$D$16,"0.000")&amp;" ^ "&amp;TEXT(E17,0)</f>
        <v>-50 * 1.051 ^ 1</v>
      </c>
      <c r="K19" s="922"/>
      <c r="L19" s="922"/>
      <c r="M19" s="675">
        <f>F19*(1+D$16)^E17</f>
        <v>52.534150375939845</v>
      </c>
      <c r="O19" s="570"/>
      <c r="P19" s="878"/>
      <c r="Q19" s="698"/>
    </row>
    <row r="20" spans="1:20" s="60" customFormat="1" ht="13.8" x14ac:dyDescent="0.3">
      <c r="A20" s="109"/>
      <c r="D20" s="703"/>
      <c r="E20" s="674">
        <v>4</v>
      </c>
      <c r="F20" s="916">
        <v>50</v>
      </c>
      <c r="G20" s="916"/>
      <c r="H20" s="916"/>
      <c r="I20" s="916"/>
      <c r="J20" s="922" t="str">
        <f>TEXT(-F20,"0")&amp;" * "&amp;TEXT(1+$D$16,"0.000")&amp;" ^ "&amp;TEXT(E16,0)</f>
        <v>-50 * 1.051 ^ 0</v>
      </c>
      <c r="K20" s="922"/>
      <c r="L20" s="922"/>
      <c r="M20" s="675">
        <f>F20*(1+D$16)^E16</f>
        <v>50</v>
      </c>
      <c r="O20" s="569"/>
      <c r="P20" s="25"/>
      <c r="Q20" s="698"/>
    </row>
    <row r="21" spans="1:20" s="60" customFormat="1" ht="13.8" x14ac:dyDescent="0.3">
      <c r="A21" s="109"/>
      <c r="D21" s="704"/>
      <c r="E21" s="574"/>
      <c r="F21" s="918" t="s">
        <v>239</v>
      </c>
      <c r="G21" s="918"/>
      <c r="H21" s="918"/>
      <c r="I21" s="918"/>
      <c r="J21" s="574"/>
      <c r="K21" s="574"/>
      <c r="L21" s="574"/>
      <c r="M21" s="699">
        <f>SUM(M16:M20)</f>
        <v>1434.397168895262</v>
      </c>
      <c r="N21" s="111"/>
      <c r="O21" s="575"/>
      <c r="P21" s="880"/>
      <c r="Q21" s="700"/>
    </row>
    <row r="22" spans="1:20" s="60" customFormat="1" ht="13.8" x14ac:dyDescent="0.3">
      <c r="A22" s="109"/>
      <c r="C22" s="330" t="s">
        <v>141</v>
      </c>
      <c r="D22" s="685">
        <f>WACC!$AA$25</f>
        <v>5.0683007518796994E-2</v>
      </c>
      <c r="E22" s="674">
        <v>0</v>
      </c>
      <c r="F22" s="916">
        <v>-1000</v>
      </c>
      <c r="G22" s="916"/>
      <c r="H22" s="916"/>
      <c r="I22" s="916"/>
      <c r="J22" s="926" t="str">
        <f>TEXT(-F22,"0")&amp;" * "&amp;TEXT(1+$D$22,"0.000")&amp;" ^ "&amp;TEXT(E26,0)</f>
        <v>1000 * 1.051 ^ 4</v>
      </c>
      <c r="K22" s="926"/>
      <c r="L22" s="926"/>
      <c r="M22" s="701">
        <f>-F22*(1+D$22)^E26</f>
        <v>1218.6720035468977</v>
      </c>
      <c r="O22" s="350" t="str">
        <f>"FV ("&amp;TEXT(D22,"0.0%")&amp;", "&amp;TEXT(E26,"0")&amp;", "&amp;TEXT(F23,0)&amp;", "&amp;TEXT(F22,"0")&amp;")"</f>
        <v>FV (5.1%, 4, -25, -1000)</v>
      </c>
      <c r="P22" s="879"/>
      <c r="Q22" s="702">
        <f>FV(D22,E26,-F23,F22)</f>
        <v>1110.8094208727155</v>
      </c>
    </row>
    <row r="23" spans="1:20" s="60" customFormat="1" ht="13.8" x14ac:dyDescent="0.3">
      <c r="A23" s="109"/>
      <c r="C23" s="60" t="s">
        <v>145</v>
      </c>
      <c r="D23" s="685"/>
      <c r="E23" s="687">
        <v>1</v>
      </c>
      <c r="F23" s="916">
        <v>-25</v>
      </c>
      <c r="G23" s="916"/>
      <c r="H23" s="916"/>
      <c r="I23" s="916"/>
      <c r="J23" s="913" t="str">
        <f>TEXT(F23,"0")&amp;" * "&amp;TEXT(1+$D$22,"0.000")&amp;" ^ "&amp;TEXT(E25,0)</f>
        <v>-25 * 1.051 ^ 3</v>
      </c>
      <c r="K23" s="913"/>
      <c r="L23" s="913"/>
      <c r="M23" s="675">
        <f>F23*(1+$D$22)^E25</f>
        <v>-28.997137928993659</v>
      </c>
      <c r="O23" s="569"/>
      <c r="P23" s="25"/>
      <c r="Q23" s="678"/>
      <c r="T23" s="60" t="s">
        <v>202</v>
      </c>
    </row>
    <row r="24" spans="1:20" s="60" customFormat="1" ht="13.8" x14ac:dyDescent="0.3">
      <c r="A24" s="109"/>
      <c r="C24" s="347"/>
      <c r="D24" s="685"/>
      <c r="E24" s="687">
        <v>2</v>
      </c>
      <c r="F24" s="916">
        <v>-25</v>
      </c>
      <c r="G24" s="916"/>
      <c r="H24" s="916"/>
      <c r="I24" s="916"/>
      <c r="J24" s="913" t="str">
        <f>TEXT(F24,"0")&amp;" * "&amp;TEXT(1+$D$22,"0.000")&amp;" ^ "&amp;TEXT(E24,0)</f>
        <v>-25 * 1.051 ^ 2</v>
      </c>
      <c r="K24" s="913"/>
      <c r="L24" s="913"/>
      <c r="M24" s="675">
        <f>F24*(1+$D$22)^E24</f>
        <v>-27.598369557218611</v>
      </c>
      <c r="O24" s="569"/>
      <c r="P24" s="25"/>
      <c r="Q24" s="697"/>
    </row>
    <row r="25" spans="1:20" s="60" customFormat="1" ht="13.8" x14ac:dyDescent="0.3">
      <c r="A25" s="109"/>
      <c r="D25" s="685"/>
      <c r="E25" s="687">
        <v>3</v>
      </c>
      <c r="F25" s="916">
        <v>-25</v>
      </c>
      <c r="G25" s="916"/>
      <c r="H25" s="916"/>
      <c r="I25" s="916"/>
      <c r="J25" s="913" t="str">
        <f>TEXT(F25,"0")&amp;" * "&amp;TEXT(1+$D$22,"0.000")&amp;" ^ "&amp;TEXT(E23,0)</f>
        <v>-25 * 1.051 ^ 1</v>
      </c>
      <c r="K25" s="913"/>
      <c r="L25" s="913"/>
      <c r="M25" s="675">
        <f>F25*(1+$D$22)^E23</f>
        <v>-26.267075187969922</v>
      </c>
      <c r="O25" s="570"/>
      <c r="P25" s="878"/>
      <c r="Q25" s="698"/>
    </row>
    <row r="26" spans="1:20" s="60" customFormat="1" ht="13.8" x14ac:dyDescent="0.3">
      <c r="A26" s="109"/>
      <c r="D26" s="703"/>
      <c r="E26" s="674">
        <v>4</v>
      </c>
      <c r="F26" s="916">
        <v>-25</v>
      </c>
      <c r="G26" s="916"/>
      <c r="H26" s="916"/>
      <c r="I26" s="916"/>
      <c r="J26" s="913" t="str">
        <f>TEXT(F26,"0")&amp;" * "&amp;TEXT(1+$D$22,"0.000")&amp;" ^ "&amp;TEXT(E22,0)</f>
        <v>-25 * 1.051 ^ 0</v>
      </c>
      <c r="K26" s="913"/>
      <c r="L26" s="913"/>
      <c r="M26" s="675">
        <f>F26*(1+$D$22)^E22</f>
        <v>-25</v>
      </c>
      <c r="O26" s="569"/>
      <c r="P26" s="25"/>
      <c r="Q26" s="698"/>
    </row>
    <row r="27" spans="1:20" s="111" customFormat="1" ht="13.8" x14ac:dyDescent="0.3">
      <c r="A27" s="109"/>
      <c r="C27" s="60"/>
      <c r="D27" s="705"/>
      <c r="E27" s="140"/>
      <c r="F27" s="919" t="s">
        <v>239</v>
      </c>
      <c r="G27" s="919"/>
      <c r="H27" s="919"/>
      <c r="I27" s="919"/>
      <c r="J27" s="337"/>
      <c r="K27" s="140"/>
      <c r="L27" s="140"/>
      <c r="M27" s="706">
        <f>SUM(M22:M26)</f>
        <v>1110.8094208727155</v>
      </c>
      <c r="O27" s="576"/>
      <c r="P27" s="881"/>
      <c r="Q27" s="707"/>
      <c r="R27" s="60"/>
    </row>
    <row r="28" spans="1:20" x14ac:dyDescent="0.3">
      <c r="D28" s="335"/>
      <c r="E28" s="335"/>
      <c r="F28" s="335"/>
      <c r="G28" s="335"/>
      <c r="H28" s="335"/>
      <c r="I28" s="335"/>
      <c r="J28" s="335"/>
      <c r="K28" s="335"/>
      <c r="L28" s="335"/>
      <c r="M28" s="335"/>
    </row>
    <row r="29" spans="1:20" x14ac:dyDescent="0.3">
      <c r="I29" s="311"/>
      <c r="J29" s="311"/>
      <c r="K29" s="311"/>
      <c r="L29" s="311"/>
      <c r="M29" s="311"/>
    </row>
    <row r="30" spans="1:20" x14ac:dyDescent="0.3">
      <c r="I30" s="311"/>
      <c r="J30" s="311"/>
      <c r="K30" s="311"/>
      <c r="L30" s="311"/>
      <c r="M30" s="311"/>
    </row>
    <row r="32" spans="1:20" x14ac:dyDescent="0.3">
      <c r="R32" s="335"/>
    </row>
  </sheetData>
  <sheetProtection algorithmName="SHA-512" hashValue="vWatv4+DWEZUdS7CPmTdyst0J8hqXH1P6K4gQ97wIfRGOzXG1o+eD+MshT/xu+mMIJ3yI5YLDfXWaKD54sSbqw==" saltValue="BS9xqb3eLU1KGoHilFGw7w==" spinCount="100000" sheet="1" objects="1" scenarios="1" selectLockedCells="1" selectUnlockedCells="1"/>
  <mergeCells count="38">
    <mergeCell ref="F27:I27"/>
    <mergeCell ref="J16:L16"/>
    <mergeCell ref="J11:L11"/>
    <mergeCell ref="J22:L22"/>
    <mergeCell ref="F25:I25"/>
    <mergeCell ref="J25:L25"/>
    <mergeCell ref="F26:I26"/>
    <mergeCell ref="J26:L26"/>
    <mergeCell ref="F21:I21"/>
    <mergeCell ref="F22:I22"/>
    <mergeCell ref="F23:I23"/>
    <mergeCell ref="J23:L23"/>
    <mergeCell ref="F24:I24"/>
    <mergeCell ref="J24:L24"/>
    <mergeCell ref="F18:I18"/>
    <mergeCell ref="J18:L18"/>
    <mergeCell ref="F19:I19"/>
    <mergeCell ref="J19:L19"/>
    <mergeCell ref="F20:I20"/>
    <mergeCell ref="J20:L20"/>
    <mergeCell ref="F14:I14"/>
    <mergeCell ref="F15:I15"/>
    <mergeCell ref="J15:L15"/>
    <mergeCell ref="F16:I16"/>
    <mergeCell ref="F17:I17"/>
    <mergeCell ref="J17:L17"/>
    <mergeCell ref="G10:I10"/>
    <mergeCell ref="J10:L10"/>
    <mergeCell ref="F11:I11"/>
    <mergeCell ref="F12:I12"/>
    <mergeCell ref="F13:I13"/>
    <mergeCell ref="P3:Q3"/>
    <mergeCell ref="D7:F8"/>
    <mergeCell ref="G7:G8"/>
    <mergeCell ref="H7:I7"/>
    <mergeCell ref="J7:K7"/>
    <mergeCell ref="H8:I8"/>
    <mergeCell ref="J8:K8"/>
  </mergeCells>
  <printOptions horizontalCentered="1"/>
  <pageMargins left="0.5" right="0.5" top="0.75" bottom="0.5" header="0.5" footer="0.5"/>
  <pageSetup orientation="landscape" r:id="rId1"/>
  <headerFooter scaleWithDoc="0" alignWithMargins="0">
    <oddFooter>&amp;LFuture Value&amp;RPage &amp;P of 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30F1-E9FF-4D02-A8AC-EE3BD7A43D30}">
  <sheetPr codeName="Sheet7">
    <tabColor rgb="FFF0D3D2"/>
    <pageSetUpPr fitToPage="1"/>
  </sheetPr>
  <dimension ref="A1:X25"/>
  <sheetViews>
    <sheetView showGridLines="0" showRowColHeaders="0" zoomScaleNormal="100" zoomScaleSheetLayoutView="70" workbookViewId="0"/>
  </sheetViews>
  <sheetFormatPr defaultColWidth="9.21875" defaultRowHeight="13.8" x14ac:dyDescent="0.3"/>
  <cols>
    <col min="1" max="1" width="3.109375" style="109" customWidth="1"/>
    <col min="2" max="2" width="5.5546875" style="60" customWidth="1"/>
    <col min="3" max="3" width="24" style="60" customWidth="1"/>
    <col min="4" max="4" width="5.109375" style="60" customWidth="1"/>
    <col min="5" max="5" width="3.88671875" style="64" customWidth="1"/>
    <col min="6" max="6" width="6.109375" style="64" customWidth="1"/>
    <col min="7" max="7" width="14.44140625" style="59" customWidth="1"/>
    <col min="8" max="8" width="6.44140625" style="64" customWidth="1"/>
    <col min="9" max="9" width="1.6640625" style="60" customWidth="1"/>
    <col min="10" max="10" width="6.109375" style="64" bestFit="1" customWidth="1"/>
    <col min="11" max="11" width="4.44140625" style="60" customWidth="1"/>
    <col min="12" max="12" width="7.21875" style="64" customWidth="1"/>
    <col min="13" max="13" width="6.21875" style="357" bestFit="1" customWidth="1"/>
    <col min="14" max="14" width="22" style="60" customWidth="1"/>
    <col min="15" max="16384" width="9.21875" style="60"/>
  </cols>
  <sheetData>
    <row r="1" spans="1:24" s="67" customFormat="1" ht="8.4" customHeight="1" x14ac:dyDescent="0.2">
      <c r="A1" s="885" t="s">
        <v>59</v>
      </c>
      <c r="E1" s="68"/>
      <c r="H1" s="167"/>
      <c r="W1" s="69"/>
    </row>
    <row r="2" spans="1:24" s="72" customFormat="1" ht="23.4" x14ac:dyDescent="0.45">
      <c r="A2" s="70"/>
      <c r="C2" s="71" t="s">
        <v>57</v>
      </c>
      <c r="E2" s="73"/>
      <c r="F2" s="73"/>
      <c r="G2" s="71"/>
      <c r="H2" s="71"/>
      <c r="I2" s="71"/>
      <c r="L2" s="73"/>
      <c r="M2" s="73"/>
      <c r="N2" s="73"/>
    </row>
    <row r="3" spans="1:24" s="77" customFormat="1" ht="18" x14ac:dyDescent="0.35">
      <c r="A3" s="75"/>
      <c r="C3" s="76" t="s">
        <v>129</v>
      </c>
      <c r="E3" s="78"/>
      <c r="F3" s="78"/>
      <c r="G3" s="79"/>
      <c r="H3" s="80"/>
      <c r="J3" s="898"/>
      <c r="K3" s="898"/>
      <c r="L3" s="898"/>
      <c r="M3" s="898"/>
      <c r="O3" s="883"/>
      <c r="P3" s="883"/>
    </row>
    <row r="4" spans="1:24" s="85" customFormat="1" ht="14.4" x14ac:dyDescent="0.3">
      <c r="A4" s="81"/>
      <c r="C4" s="82"/>
      <c r="D4" s="83"/>
      <c r="E4" s="83"/>
      <c r="F4" s="83"/>
      <c r="G4" s="84"/>
      <c r="H4" s="83"/>
      <c r="I4" s="83"/>
      <c r="K4" s="83"/>
      <c r="L4" s="181"/>
      <c r="M4" s="181"/>
    </row>
    <row r="5" spans="1:24" s="85" customFormat="1" ht="15.6" x14ac:dyDescent="0.3">
      <c r="A5" s="81"/>
      <c r="C5" s="83" t="s">
        <v>229</v>
      </c>
      <c r="D5" s="83"/>
      <c r="E5" s="83"/>
      <c r="F5" s="83"/>
      <c r="G5" s="83"/>
      <c r="H5" s="83"/>
      <c r="I5" s="83"/>
      <c r="J5" s="83"/>
      <c r="K5" s="83"/>
      <c r="L5" s="83"/>
      <c r="M5" s="351"/>
      <c r="N5" s="83"/>
      <c r="O5" s="83"/>
      <c r="R5" s="87"/>
      <c r="U5" s="88"/>
      <c r="V5" s="88"/>
      <c r="W5" s="88"/>
      <c r="X5" s="88"/>
    </row>
    <row r="6" spans="1:24" s="85" customFormat="1" ht="9.6" customHeight="1" x14ac:dyDescent="0.3">
      <c r="A6" s="81"/>
      <c r="F6" s="89"/>
      <c r="H6" s="90"/>
      <c r="I6" s="91"/>
      <c r="J6" s="90"/>
      <c r="M6" s="87"/>
      <c r="O6" s="91"/>
      <c r="P6" s="90"/>
    </row>
    <row r="7" spans="1:24" s="311" customFormat="1" ht="14.4" x14ac:dyDescent="0.3">
      <c r="A7" s="352"/>
      <c r="C7" s="108" t="s">
        <v>144</v>
      </c>
      <c r="D7" s="313" t="s">
        <v>316</v>
      </c>
      <c r="E7" s="353"/>
      <c r="F7" s="314"/>
      <c r="G7" s="354"/>
      <c r="H7" s="355"/>
      <c r="I7" s="314"/>
      <c r="L7" s="334"/>
      <c r="M7" s="312"/>
    </row>
    <row r="8" spans="1:24" x14ac:dyDescent="0.3">
      <c r="C8" s="108" t="s">
        <v>135</v>
      </c>
      <c r="D8" s="318" t="s">
        <v>207</v>
      </c>
      <c r="E8" s="65"/>
      <c r="F8" s="65"/>
      <c r="G8" s="356"/>
      <c r="J8" s="330" t="s">
        <v>147</v>
      </c>
    </row>
    <row r="9" spans="1:24" s="111" customFormat="1" ht="9.6" customHeight="1" x14ac:dyDescent="0.3">
      <c r="A9" s="109"/>
      <c r="F9" s="141"/>
      <c r="H9" s="195"/>
      <c r="I9" s="239"/>
      <c r="J9" s="195"/>
      <c r="M9" s="256"/>
      <c r="O9" s="239"/>
      <c r="P9" s="195"/>
    </row>
    <row r="10" spans="1:24" s="363" customFormat="1" ht="15" customHeight="1" x14ac:dyDescent="0.3">
      <c r="A10" s="358"/>
      <c r="B10" s="94"/>
      <c r="C10" s="359"/>
      <c r="D10" s="360" t="s">
        <v>6</v>
      </c>
      <c r="E10" s="360" t="s">
        <v>71</v>
      </c>
      <c r="F10" s="360" t="s">
        <v>21</v>
      </c>
      <c r="G10" s="361" t="s">
        <v>68</v>
      </c>
      <c r="H10" s="360" t="s">
        <v>89</v>
      </c>
      <c r="I10" s="359"/>
      <c r="J10" s="360" t="s">
        <v>6</v>
      </c>
      <c r="K10" s="360" t="s">
        <v>71</v>
      </c>
      <c r="L10" s="360" t="s">
        <v>21</v>
      </c>
      <c r="M10" s="362" t="s">
        <v>95</v>
      </c>
      <c r="N10" s="359"/>
      <c r="O10" s="359"/>
      <c r="P10" s="359"/>
    </row>
    <row r="11" spans="1:24" x14ac:dyDescent="0.3">
      <c r="B11" s="329"/>
      <c r="C11" s="330" t="s">
        <v>140</v>
      </c>
      <c r="D11" s="708" t="s">
        <v>239</v>
      </c>
      <c r="E11" s="709">
        <v>0</v>
      </c>
      <c r="F11" s="710">
        <v>-750</v>
      </c>
      <c r="G11" s="365" t="str">
        <f>"IRR ("&amp;TEXT(F11,"#,###")&amp;":"&amp;TEXT(F15,"#,###")&amp;")"</f>
        <v>IRR (-750:1,000)</v>
      </c>
      <c r="H11" s="711">
        <f>IRR(F11:F15)</f>
        <v>7.4569931821339308E-2</v>
      </c>
      <c r="J11" s="708">
        <f>H11</f>
        <v>7.4569931821339308E-2</v>
      </c>
      <c r="K11" s="709">
        <f t="shared" ref="K11:K15" si="0">E11</f>
        <v>0</v>
      </c>
      <c r="L11" s="712">
        <f t="shared" ref="L11:L15" si="1">F11</f>
        <v>-750</v>
      </c>
      <c r="M11" s="670">
        <f>SUM(M12:M15)</f>
        <v>750.00000000614909</v>
      </c>
    </row>
    <row r="12" spans="1:24" x14ac:dyDescent="0.3">
      <c r="C12" s="60" t="s">
        <v>185</v>
      </c>
      <c r="D12" s="713"/>
      <c r="E12" s="714">
        <v>1</v>
      </c>
      <c r="F12" s="715">
        <v>0</v>
      </c>
      <c r="G12" s="25"/>
      <c r="H12" s="716"/>
      <c r="J12" s="717"/>
      <c r="K12" s="714">
        <f t="shared" si="0"/>
        <v>1</v>
      </c>
      <c r="L12" s="718">
        <f t="shared" si="1"/>
        <v>0</v>
      </c>
      <c r="M12" s="631">
        <f>L12/(1+$J$11)^E12</f>
        <v>0</v>
      </c>
    </row>
    <row r="13" spans="1:24" x14ac:dyDescent="0.3">
      <c r="D13" s="713"/>
      <c r="E13" s="714">
        <v>2</v>
      </c>
      <c r="F13" s="715">
        <v>0</v>
      </c>
      <c r="G13" s="25"/>
      <c r="H13" s="716"/>
      <c r="J13" s="717"/>
      <c r="K13" s="714">
        <f t="shared" si="0"/>
        <v>2</v>
      </c>
      <c r="L13" s="718">
        <f t="shared" si="1"/>
        <v>0</v>
      </c>
      <c r="M13" s="631">
        <f>L13/(1+$J$11)^E13</f>
        <v>0</v>
      </c>
    </row>
    <row r="14" spans="1:24" x14ac:dyDescent="0.3">
      <c r="D14" s="713"/>
      <c r="E14" s="714">
        <v>3</v>
      </c>
      <c r="F14" s="715">
        <v>0</v>
      </c>
      <c r="G14" s="25"/>
      <c r="H14" s="716"/>
      <c r="I14" s="332"/>
      <c r="J14" s="717"/>
      <c r="K14" s="714">
        <f t="shared" si="0"/>
        <v>3</v>
      </c>
      <c r="L14" s="718">
        <f t="shared" si="1"/>
        <v>0</v>
      </c>
      <c r="M14" s="631">
        <f>L14/(1+$J$11)^E14</f>
        <v>0</v>
      </c>
    </row>
    <row r="15" spans="1:24" s="111" customFormat="1" x14ac:dyDescent="0.3">
      <c r="A15" s="109"/>
      <c r="C15" s="60"/>
      <c r="D15" s="719"/>
      <c r="E15" s="720">
        <v>4</v>
      </c>
      <c r="F15" s="721">
        <v>1000</v>
      </c>
      <c r="G15" s="577"/>
      <c r="H15" s="722"/>
      <c r="J15" s="723"/>
      <c r="K15" s="720">
        <f t="shared" si="0"/>
        <v>4</v>
      </c>
      <c r="L15" s="724">
        <f t="shared" si="1"/>
        <v>1000</v>
      </c>
      <c r="M15" s="639">
        <f>L15/(1+$J$11)^E15</f>
        <v>750.00000000614909</v>
      </c>
    </row>
    <row r="16" spans="1:24" x14ac:dyDescent="0.3">
      <c r="C16" s="330" t="s">
        <v>139</v>
      </c>
      <c r="D16" s="725" t="s">
        <v>239</v>
      </c>
      <c r="E16" s="726">
        <v>0</v>
      </c>
      <c r="F16" s="727">
        <f>F11</f>
        <v>-750</v>
      </c>
      <c r="G16" s="366" t="str">
        <f>"IRR ("&amp;TEXT(F16,"#,###")&amp;":"&amp;TEXT(F20,"#,###")&amp;")"</f>
        <v>IRR (-750:1,050)</v>
      </c>
      <c r="H16" s="728">
        <f>IRR(F16:F20)</f>
        <v>0.13490699803442219</v>
      </c>
      <c r="I16" s="111"/>
      <c r="J16" s="725">
        <f>H16</f>
        <v>0.13490699803442219</v>
      </c>
      <c r="K16" s="726">
        <f t="shared" ref="K16:K25" si="2">E16</f>
        <v>0</v>
      </c>
      <c r="L16" s="729">
        <f t="shared" ref="L16:L25" si="3">F16</f>
        <v>-750</v>
      </c>
      <c r="M16" s="702">
        <f>SUM(M17:M20)</f>
        <v>750.00000000000045</v>
      </c>
      <c r="N16" s="111"/>
    </row>
    <row r="17" spans="3:13" x14ac:dyDescent="0.3">
      <c r="C17" s="60" t="s">
        <v>186</v>
      </c>
      <c r="D17" s="713"/>
      <c r="E17" s="714">
        <v>1</v>
      </c>
      <c r="F17" s="715">
        <v>50</v>
      </c>
      <c r="G17" s="25"/>
      <c r="H17" s="716"/>
      <c r="J17" s="717"/>
      <c r="K17" s="714">
        <f t="shared" si="2"/>
        <v>1</v>
      </c>
      <c r="L17" s="718">
        <f t="shared" si="3"/>
        <v>50</v>
      </c>
      <c r="M17" s="675">
        <f>L17/(1+$J$16)^E17</f>
        <v>44.05647342610137</v>
      </c>
    </row>
    <row r="18" spans="3:13" x14ac:dyDescent="0.3">
      <c r="D18" s="713"/>
      <c r="E18" s="714">
        <v>2</v>
      </c>
      <c r="F18" s="715">
        <v>50</v>
      </c>
      <c r="G18" s="25"/>
      <c r="H18" s="716"/>
      <c r="J18" s="717"/>
      <c r="K18" s="714">
        <f t="shared" si="2"/>
        <v>2</v>
      </c>
      <c r="L18" s="718">
        <f t="shared" si="3"/>
        <v>50</v>
      </c>
      <c r="M18" s="675">
        <f>L18/(1+$J$16)^E18</f>
        <v>38.819457014895526</v>
      </c>
    </row>
    <row r="19" spans="3:13" x14ac:dyDescent="0.3">
      <c r="D19" s="713"/>
      <c r="E19" s="714">
        <v>3</v>
      </c>
      <c r="F19" s="715">
        <v>50</v>
      </c>
      <c r="G19" s="25"/>
      <c r="H19" s="716"/>
      <c r="J19" s="717"/>
      <c r="K19" s="714">
        <f t="shared" si="2"/>
        <v>3</v>
      </c>
      <c r="L19" s="718">
        <f t="shared" si="3"/>
        <v>50</v>
      </c>
      <c r="M19" s="675">
        <f>L19/(1+$J$16)^E19</f>
        <v>34.204967527848581</v>
      </c>
    </row>
    <row r="20" spans="3:13" x14ac:dyDescent="0.3">
      <c r="D20" s="719"/>
      <c r="E20" s="720">
        <v>4</v>
      </c>
      <c r="F20" s="721">
        <v>1050</v>
      </c>
      <c r="G20" s="577"/>
      <c r="H20" s="722"/>
      <c r="J20" s="723"/>
      <c r="K20" s="720">
        <f t="shared" si="2"/>
        <v>4</v>
      </c>
      <c r="L20" s="724">
        <f t="shared" si="3"/>
        <v>1050</v>
      </c>
      <c r="M20" s="681">
        <f>L20/(1+$J$16)^E20</f>
        <v>632.91910203115503</v>
      </c>
    </row>
    <row r="21" spans="3:13" x14ac:dyDescent="0.3">
      <c r="C21" s="330" t="s">
        <v>141</v>
      </c>
      <c r="D21" s="725" t="s">
        <v>239</v>
      </c>
      <c r="E21" s="726">
        <v>0</v>
      </c>
      <c r="F21" s="727">
        <f>F16</f>
        <v>-750</v>
      </c>
      <c r="G21" s="366" t="str">
        <f>"IRR ("&amp;TEXT(F21,"#,###")&amp;":"&amp;TEXT(F25,"#,###")&amp;")"</f>
        <v>IRR (-750:975)</v>
      </c>
      <c r="H21" s="728">
        <f>IRR(F21:F25)</f>
        <v>4.4624737301709683E-2</v>
      </c>
      <c r="I21" s="364"/>
      <c r="J21" s="725">
        <f>H21</f>
        <v>4.4624737301709683E-2</v>
      </c>
      <c r="K21" s="726">
        <f t="shared" si="2"/>
        <v>0</v>
      </c>
      <c r="L21" s="729">
        <f t="shared" si="3"/>
        <v>-750</v>
      </c>
      <c r="M21" s="702">
        <f>SUM(M22:M25)</f>
        <v>749.99999999998454</v>
      </c>
    </row>
    <row r="22" spans="3:13" x14ac:dyDescent="0.3">
      <c r="C22" s="60" t="s">
        <v>145</v>
      </c>
      <c r="D22" s="713"/>
      <c r="E22" s="714">
        <v>1</v>
      </c>
      <c r="F22" s="715">
        <v>-25</v>
      </c>
      <c r="G22" s="25"/>
      <c r="H22" s="716"/>
      <c r="J22" s="717"/>
      <c r="K22" s="714">
        <f t="shared" si="2"/>
        <v>1</v>
      </c>
      <c r="L22" s="718">
        <f t="shared" si="3"/>
        <v>-25</v>
      </c>
      <c r="M22" s="675">
        <f>L22/(1+$J$21)^E22</f>
        <v>-23.932039044543011</v>
      </c>
    </row>
    <row r="23" spans="3:13" x14ac:dyDescent="0.3">
      <c r="D23" s="713"/>
      <c r="E23" s="714">
        <v>2</v>
      </c>
      <c r="F23" s="715">
        <v>-25</v>
      </c>
      <c r="G23" s="25"/>
      <c r="H23" s="716"/>
      <c r="J23" s="569"/>
      <c r="K23" s="714">
        <f t="shared" si="2"/>
        <v>2</v>
      </c>
      <c r="L23" s="718">
        <f t="shared" si="3"/>
        <v>-25</v>
      </c>
      <c r="M23" s="675">
        <f>L23/(1+$J$21)^E23</f>
        <v>-22.90969971318124</v>
      </c>
    </row>
    <row r="24" spans="3:13" x14ac:dyDescent="0.3">
      <c r="D24" s="713"/>
      <c r="E24" s="714">
        <v>3</v>
      </c>
      <c r="F24" s="715">
        <v>-25</v>
      </c>
      <c r="G24" s="25"/>
      <c r="H24" s="716"/>
      <c r="J24" s="569"/>
      <c r="K24" s="714">
        <f t="shared" si="2"/>
        <v>3</v>
      </c>
      <c r="L24" s="718">
        <f t="shared" si="3"/>
        <v>-25</v>
      </c>
      <c r="M24" s="675">
        <f>L24/(1+$J$21)^E24</f>
        <v>-21.93103312138437</v>
      </c>
    </row>
    <row r="25" spans="3:13" x14ac:dyDescent="0.3">
      <c r="D25" s="730"/>
      <c r="E25" s="731">
        <v>4</v>
      </c>
      <c r="F25" s="732">
        <v>975</v>
      </c>
      <c r="G25" s="578"/>
      <c r="H25" s="733"/>
      <c r="J25" s="573"/>
      <c r="K25" s="731">
        <f t="shared" si="2"/>
        <v>4</v>
      </c>
      <c r="L25" s="734">
        <f t="shared" si="3"/>
        <v>975</v>
      </c>
      <c r="M25" s="693">
        <f>L25/(1+$J$21)^E25</f>
        <v>818.77277187909317</v>
      </c>
    </row>
  </sheetData>
  <sheetProtection algorithmName="SHA-512" hashValue="jPV1hJq21/+sFeruGdP6wloorzJqf9haSiS/q3urrBvcT2zMVQsXKeHh93Cj5UyK4E3N16zL8+197OYlhCk4Mg==" saltValue="CCp+xK8ywW/WaZVKWI4QCw==" spinCount="100000" sheet="1" objects="1" scenarios="1" selectLockedCells="1" selectUnlockedCells="1"/>
  <mergeCells count="1">
    <mergeCell ref="J3:M3"/>
  </mergeCells>
  <printOptions horizontalCentered="1"/>
  <pageMargins left="0.5" right="0.5" top="0.75" bottom="0.5" header="0.5" footer="0.5"/>
  <pageSetup orientation="landscape" r:id="rId1"/>
  <headerFooter scaleWithDoc="0" alignWithMargins="0">
    <oddFooter>&amp;LInternal Rate of Return&amp;RPage &amp;P of 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B340-4254-4847-82DC-57261EDA71F7}">
  <sheetPr codeName="Sheet8">
    <tabColor rgb="FFF0D3D2"/>
    <pageSetUpPr fitToPage="1"/>
  </sheetPr>
  <dimension ref="A1:AB37"/>
  <sheetViews>
    <sheetView showGridLines="0" showRowColHeaders="0" zoomScaleNormal="100" zoomScaleSheetLayoutView="100" workbookViewId="0"/>
  </sheetViews>
  <sheetFormatPr defaultColWidth="8.88671875" defaultRowHeight="13.8" x14ac:dyDescent="0.3"/>
  <cols>
    <col min="1" max="1" width="3.109375" style="109" customWidth="1"/>
    <col min="2" max="2" width="5.5546875" style="109" customWidth="1"/>
    <col min="3" max="3" width="6.109375" style="59" bestFit="1" customWidth="1"/>
    <col min="4" max="4" width="1.5546875" style="115" customWidth="1"/>
    <col min="5" max="5" width="7.88671875" style="125" customWidth="1"/>
    <col min="6" max="8" width="7.33203125" style="115" customWidth="1"/>
    <col min="9" max="9" width="3.88671875" style="115" customWidth="1"/>
    <col min="10" max="10" width="7.88671875" style="125" customWidth="1"/>
    <col min="11" max="13" width="7.33203125" style="115" customWidth="1"/>
    <col min="14" max="14" width="3.88671875" style="115" customWidth="1"/>
    <col min="15" max="15" width="7.88671875" style="59" customWidth="1"/>
    <col min="16" max="17" width="7.33203125" style="115" customWidth="1"/>
    <col min="18" max="18" width="7.33203125" style="128" customWidth="1"/>
    <col min="19" max="19" width="3.88671875" style="125" customWidth="1"/>
    <col min="20" max="20" width="10.88671875" style="113" customWidth="1"/>
    <col min="21" max="21" width="7.33203125" style="115" bestFit="1" customWidth="1"/>
    <col min="22" max="22" width="3.6640625" style="115" customWidth="1"/>
    <col min="23" max="23" width="63.77734375" style="63" bestFit="1" customWidth="1"/>
    <col min="24" max="16384" width="8.88671875" style="113"/>
  </cols>
  <sheetData>
    <row r="1" spans="1:28" s="67" customFormat="1" ht="8.4" customHeight="1" x14ac:dyDescent="0.2">
      <c r="A1" s="885" t="s">
        <v>59</v>
      </c>
      <c r="E1" s="68"/>
      <c r="H1" s="167"/>
      <c r="W1" s="69"/>
    </row>
    <row r="2" spans="1:28" s="72" customFormat="1" ht="23.4" x14ac:dyDescent="0.45">
      <c r="A2" s="70"/>
      <c r="B2" s="70"/>
      <c r="C2" s="71" t="s">
        <v>338</v>
      </c>
      <c r="E2" s="73"/>
      <c r="F2" s="73"/>
      <c r="G2" s="74"/>
      <c r="H2" s="73"/>
      <c r="I2" s="71"/>
      <c r="J2" s="71"/>
      <c r="K2" s="71"/>
      <c r="N2" s="73"/>
      <c r="O2" s="73"/>
      <c r="P2" s="73"/>
      <c r="U2" s="883"/>
      <c r="V2" s="883"/>
      <c r="W2" s="883"/>
      <c r="X2" s="883"/>
      <c r="Y2" s="883"/>
      <c r="Z2" s="883"/>
      <c r="AA2" s="883"/>
      <c r="AB2" s="883"/>
    </row>
    <row r="3" spans="1:28" s="77" customFormat="1" ht="18" x14ac:dyDescent="0.35">
      <c r="A3" s="75"/>
      <c r="B3" s="75"/>
      <c r="C3" s="76" t="s">
        <v>132</v>
      </c>
      <c r="E3" s="78"/>
      <c r="F3" s="78"/>
      <c r="G3" s="79"/>
      <c r="H3" s="80"/>
      <c r="J3" s="78"/>
      <c r="K3" s="78"/>
      <c r="L3" s="79"/>
      <c r="M3" s="80"/>
      <c r="P3" s="898"/>
      <c r="Q3" s="898"/>
      <c r="R3" s="898"/>
      <c r="S3" s="884"/>
    </row>
    <row r="4" spans="1:28" s="85" customFormat="1" ht="14.4" x14ac:dyDescent="0.3">
      <c r="A4" s="81"/>
      <c r="B4" s="81"/>
      <c r="C4" s="82"/>
      <c r="D4" s="83"/>
      <c r="E4" s="83"/>
      <c r="F4" s="83"/>
      <c r="G4" s="84"/>
      <c r="H4" s="83"/>
      <c r="I4" s="83"/>
      <c r="J4" s="83"/>
      <c r="K4" s="83"/>
      <c r="L4" s="84"/>
      <c r="M4" s="83"/>
    </row>
    <row r="5" spans="1:28" s="85" customFormat="1" ht="15.6" x14ac:dyDescent="0.3">
      <c r="A5" s="81"/>
      <c r="B5" s="81"/>
      <c r="C5" s="86" t="s">
        <v>307</v>
      </c>
      <c r="D5" s="83"/>
      <c r="E5" s="83"/>
      <c r="F5" s="83"/>
      <c r="G5" s="83"/>
      <c r="H5" s="83"/>
      <c r="I5" s="83"/>
      <c r="J5" s="83"/>
      <c r="K5" s="83"/>
      <c r="L5" s="83"/>
      <c r="M5" s="83"/>
      <c r="P5" s="87"/>
      <c r="R5" s="88"/>
      <c r="S5" s="88"/>
      <c r="T5" s="88"/>
    </row>
    <row r="6" spans="1:28" s="85" customFormat="1" ht="9.6" customHeight="1" x14ac:dyDescent="0.3">
      <c r="A6" s="81"/>
      <c r="B6" s="81"/>
      <c r="F6" s="89"/>
      <c r="H6" s="90"/>
      <c r="I6" s="91"/>
      <c r="K6" s="89"/>
      <c r="M6" s="90"/>
      <c r="N6" s="90"/>
    </row>
    <row r="7" spans="1:28" s="93" customFormat="1" ht="15.6" customHeight="1" x14ac:dyDescent="0.3">
      <c r="A7" s="92"/>
      <c r="B7" s="92"/>
      <c r="D7" s="94"/>
      <c r="E7" s="95" t="s">
        <v>362</v>
      </c>
      <c r="F7" s="94"/>
      <c r="G7" s="96"/>
      <c r="H7" s="96"/>
      <c r="I7" s="96"/>
      <c r="J7" s="95" t="s">
        <v>363</v>
      </c>
      <c r="L7" s="96"/>
      <c r="M7" s="96"/>
      <c r="N7" s="96"/>
      <c r="O7" s="95" t="s">
        <v>364</v>
      </c>
      <c r="R7" s="96"/>
      <c r="T7" s="97"/>
      <c r="U7" s="97"/>
      <c r="V7" s="97"/>
      <c r="W7" s="98"/>
    </row>
    <row r="8" spans="1:28" s="93" customFormat="1" x14ac:dyDescent="0.3">
      <c r="A8" s="92"/>
      <c r="B8" s="92"/>
      <c r="E8" s="99" t="s">
        <v>360</v>
      </c>
      <c r="G8" s="735">
        <v>1000</v>
      </c>
      <c r="H8" s="96"/>
      <c r="I8" s="96"/>
      <c r="J8" s="99" t="s">
        <v>360</v>
      </c>
      <c r="L8" s="735">
        <v>1000</v>
      </c>
      <c r="M8" s="96"/>
      <c r="N8" s="100"/>
      <c r="O8" s="99" t="s">
        <v>360</v>
      </c>
      <c r="Q8" s="735">
        <v>1000</v>
      </c>
      <c r="R8" s="96"/>
      <c r="T8" s="97"/>
      <c r="U8" s="97"/>
      <c r="V8" s="97"/>
      <c r="W8" s="98"/>
    </row>
    <row r="9" spans="1:28" s="93" customFormat="1" x14ac:dyDescent="0.3">
      <c r="A9" s="92"/>
      <c r="B9" s="92"/>
      <c r="E9" s="99" t="s">
        <v>359</v>
      </c>
      <c r="G9" s="736">
        <v>0</v>
      </c>
      <c r="H9" s="96"/>
      <c r="I9" s="96"/>
      <c r="J9" s="99" t="s">
        <v>359</v>
      </c>
      <c r="L9" s="736">
        <v>25</v>
      </c>
      <c r="M9" s="96"/>
      <c r="N9" s="100"/>
      <c r="O9" s="99" t="s">
        <v>359</v>
      </c>
      <c r="Q9" s="736">
        <v>0</v>
      </c>
      <c r="R9" s="96"/>
      <c r="T9" s="97"/>
      <c r="U9" s="97"/>
      <c r="V9" s="97"/>
      <c r="W9" s="98"/>
    </row>
    <row r="10" spans="1:28" s="85" customFormat="1" ht="6" customHeight="1" x14ac:dyDescent="0.3">
      <c r="A10" s="81"/>
      <c r="B10" s="81"/>
      <c r="F10" s="89"/>
      <c r="H10" s="90"/>
      <c r="I10" s="91"/>
      <c r="M10" s="90"/>
      <c r="N10" s="90"/>
    </row>
    <row r="11" spans="1:28" s="103" customFormat="1" x14ac:dyDescent="0.3">
      <c r="A11" s="101"/>
      <c r="B11" s="101"/>
      <c r="C11" s="102" t="s">
        <v>159</v>
      </c>
      <c r="E11" s="104" t="s">
        <v>21</v>
      </c>
      <c r="F11" s="105" t="s">
        <v>353</v>
      </c>
      <c r="G11" s="104" t="s">
        <v>354</v>
      </c>
      <c r="H11" s="106" t="s">
        <v>20</v>
      </c>
      <c r="I11" s="104"/>
      <c r="J11" s="104" t="s">
        <v>21</v>
      </c>
      <c r="K11" s="104" t="s">
        <v>353</v>
      </c>
      <c r="L11" s="104" t="s">
        <v>354</v>
      </c>
      <c r="M11" s="104" t="s">
        <v>20</v>
      </c>
      <c r="N11" s="104"/>
      <c r="O11" s="104" t="s">
        <v>21</v>
      </c>
      <c r="P11" s="105" t="s">
        <v>353</v>
      </c>
      <c r="Q11" s="104" t="s">
        <v>354</v>
      </c>
      <c r="R11" s="104" t="s">
        <v>20</v>
      </c>
      <c r="T11" s="98" t="s">
        <v>11</v>
      </c>
      <c r="U11" s="107"/>
      <c r="W11" s="108" t="s">
        <v>157</v>
      </c>
    </row>
    <row r="12" spans="1:28" s="111" customFormat="1" x14ac:dyDescent="0.3">
      <c r="A12" s="109"/>
      <c r="B12" s="109"/>
      <c r="C12" s="110">
        <v>0</v>
      </c>
      <c r="E12" s="737">
        <f>-G$8</f>
        <v>-1000</v>
      </c>
      <c r="F12" s="738"/>
      <c r="G12" s="739"/>
      <c r="H12" s="740">
        <f>G$8</f>
        <v>1000</v>
      </c>
      <c r="I12" s="96"/>
      <c r="J12" s="737">
        <f>-L$8</f>
        <v>-1000</v>
      </c>
      <c r="K12" s="739"/>
      <c r="L12" s="739"/>
      <c r="M12" s="741">
        <f>L$8</f>
        <v>1000</v>
      </c>
      <c r="N12" s="96"/>
      <c r="O12" s="737">
        <f>-Q$8</f>
        <v>-1000</v>
      </c>
      <c r="P12" s="738"/>
      <c r="Q12" s="739">
        <v>0</v>
      </c>
      <c r="R12" s="740">
        <f>Q$8</f>
        <v>1000</v>
      </c>
      <c r="T12" s="112" t="s">
        <v>192</v>
      </c>
      <c r="U12" s="742">
        <f>WACC!AA25</f>
        <v>5.0683007518796994E-2</v>
      </c>
      <c r="W12" s="113" t="s">
        <v>96</v>
      </c>
    </row>
    <row r="13" spans="1:28" x14ac:dyDescent="0.3">
      <c r="C13" s="110">
        <v>1</v>
      </c>
      <c r="D13" s="113"/>
      <c r="E13" s="743">
        <f t="shared" ref="E13:E19" si="0">-G$9</f>
        <v>0</v>
      </c>
      <c r="F13" s="744">
        <f>H12</f>
        <v>1000</v>
      </c>
      <c r="G13" s="745">
        <f t="shared" ref="G13:G20" si="1">H12*$U$12</f>
        <v>50.683007518796991</v>
      </c>
      <c r="H13" s="746">
        <f t="shared" ref="H13:H19" si="2">SUM(F13:G13)+G$9</f>
        <v>1050.683007518797</v>
      </c>
      <c r="I13" s="96"/>
      <c r="J13" s="743">
        <f t="shared" ref="J13:J19" si="3">-L$9</f>
        <v>-25</v>
      </c>
      <c r="K13" s="745">
        <f>M12</f>
        <v>1000</v>
      </c>
      <c r="L13" s="745">
        <f t="shared" ref="L13:L19" si="4">(K13+$L$9)*$U$12</f>
        <v>51.950082706766921</v>
      </c>
      <c r="M13" s="747">
        <f t="shared" ref="M13:M19" si="5">SUM(K13:L13)+L$9</f>
        <v>1076.9500827067668</v>
      </c>
      <c r="N13" s="96"/>
      <c r="O13" s="743">
        <f>-Q$9</f>
        <v>0</v>
      </c>
      <c r="P13" s="744">
        <f>R12</f>
        <v>1000</v>
      </c>
      <c r="Q13" s="745">
        <f>R12*$U$12</f>
        <v>50.683007518796991</v>
      </c>
      <c r="R13" s="746">
        <f>SUM(P13:Q13)+Q$9</f>
        <v>1050.683007518797</v>
      </c>
      <c r="S13" s="113"/>
      <c r="T13" s="114" t="s">
        <v>264</v>
      </c>
      <c r="U13" s="748">
        <v>0.2</v>
      </c>
      <c r="W13" s="66" t="s">
        <v>191</v>
      </c>
    </row>
    <row r="14" spans="1:28" s="60" customFormat="1" x14ac:dyDescent="0.3">
      <c r="A14" s="109"/>
      <c r="B14" s="109"/>
      <c r="C14" s="110">
        <v>2</v>
      </c>
      <c r="E14" s="743">
        <f t="shared" si="0"/>
        <v>0</v>
      </c>
      <c r="F14" s="744">
        <f t="shared" ref="F14:F20" si="6">H13</f>
        <v>1050.683007518797</v>
      </c>
      <c r="G14" s="745">
        <f t="shared" si="1"/>
        <v>53.251774769947424</v>
      </c>
      <c r="H14" s="746">
        <f t="shared" si="2"/>
        <v>1103.9347822887444</v>
      </c>
      <c r="I14" s="96"/>
      <c r="J14" s="743">
        <f t="shared" si="3"/>
        <v>-25</v>
      </c>
      <c r="K14" s="745">
        <f t="shared" ref="K14:K20" si="7">M13</f>
        <v>1076.9500827067668</v>
      </c>
      <c r="L14" s="745">
        <f t="shared" si="4"/>
        <v>55.850144327166028</v>
      </c>
      <c r="M14" s="747">
        <f t="shared" si="5"/>
        <v>1157.8002270339327</v>
      </c>
      <c r="N14" s="96"/>
      <c r="O14" s="743">
        <f>-Q$9</f>
        <v>0</v>
      </c>
      <c r="P14" s="744">
        <f t="shared" ref="P14:P17" si="8">R13</f>
        <v>1050.683007518797</v>
      </c>
      <c r="Q14" s="745">
        <f>R13*$U$12</f>
        <v>53.251774769947424</v>
      </c>
      <c r="R14" s="746">
        <f>SUM(P14:Q14)+Q$9</f>
        <v>1103.9347822887444</v>
      </c>
      <c r="T14" s="116" t="s">
        <v>283</v>
      </c>
      <c r="U14" s="749">
        <v>0.1</v>
      </c>
    </row>
    <row r="15" spans="1:28" s="60" customFormat="1" x14ac:dyDescent="0.3">
      <c r="A15" s="109"/>
      <c r="B15" s="109"/>
      <c r="C15" s="110">
        <v>3</v>
      </c>
      <c r="E15" s="743">
        <f t="shared" si="0"/>
        <v>0</v>
      </c>
      <c r="F15" s="744">
        <f t="shared" si="6"/>
        <v>1103.9347822887444</v>
      </c>
      <c r="G15" s="745">
        <f t="shared" si="1"/>
        <v>55.950734871001956</v>
      </c>
      <c r="H15" s="746">
        <f t="shared" si="2"/>
        <v>1159.8855171597463</v>
      </c>
      <c r="I15" s="96"/>
      <c r="J15" s="743">
        <f t="shared" si="3"/>
        <v>-25</v>
      </c>
      <c r="K15" s="745">
        <f t="shared" si="7"/>
        <v>1157.8002270339327</v>
      </c>
      <c r="L15" s="745">
        <f t="shared" si="4"/>
        <v>59.947872799995608</v>
      </c>
      <c r="M15" s="747">
        <f t="shared" si="5"/>
        <v>1242.7480998339283</v>
      </c>
      <c r="N15" s="96"/>
      <c r="O15" s="743">
        <f>-Q$9</f>
        <v>0</v>
      </c>
      <c r="P15" s="744">
        <f t="shared" si="8"/>
        <v>1103.9347822887444</v>
      </c>
      <c r="Q15" s="745">
        <f>R14*$U$12</f>
        <v>55.950734871001956</v>
      </c>
      <c r="R15" s="746">
        <f>SUM(P15:Q15)+Q$9</f>
        <v>1159.8855171597463</v>
      </c>
      <c r="U15" s="64"/>
      <c r="W15" s="113" t="s">
        <v>120</v>
      </c>
    </row>
    <row r="16" spans="1:28" s="60" customFormat="1" x14ac:dyDescent="0.3">
      <c r="A16" s="109"/>
      <c r="B16" s="109"/>
      <c r="C16" s="110">
        <v>4</v>
      </c>
      <c r="E16" s="743">
        <f t="shared" si="0"/>
        <v>0</v>
      </c>
      <c r="F16" s="744">
        <f t="shared" si="6"/>
        <v>1159.8855171597463</v>
      </c>
      <c r="G16" s="745">
        <f t="shared" si="1"/>
        <v>58.786486387151164</v>
      </c>
      <c r="H16" s="746">
        <f t="shared" si="2"/>
        <v>1218.6720035468975</v>
      </c>
      <c r="I16" s="96"/>
      <c r="J16" s="743">
        <f t="shared" si="3"/>
        <v>-25</v>
      </c>
      <c r="K16" s="745">
        <f>M15</f>
        <v>1242.7480998339283</v>
      </c>
      <c r="L16" s="745">
        <f t="shared" si="4"/>
        <v>64.253286475823586</v>
      </c>
      <c r="M16" s="747">
        <f t="shared" si="5"/>
        <v>1332.001386309752</v>
      </c>
      <c r="N16" s="96"/>
      <c r="O16" s="743">
        <f>-Q$9</f>
        <v>0</v>
      </c>
      <c r="P16" s="744">
        <f t="shared" si="8"/>
        <v>1159.8855171597463</v>
      </c>
      <c r="Q16" s="745">
        <f>R15*$U$12</f>
        <v>58.786486387151164</v>
      </c>
      <c r="R16" s="746">
        <f>SUM(P16:Q16)+Q$9</f>
        <v>1218.6720035468975</v>
      </c>
      <c r="U16" s="64"/>
      <c r="W16" s="66" t="s">
        <v>104</v>
      </c>
    </row>
    <row r="17" spans="1:23" s="60" customFormat="1" x14ac:dyDescent="0.3">
      <c r="A17" s="109"/>
      <c r="B17" s="109"/>
      <c r="C17" s="110">
        <v>5</v>
      </c>
      <c r="E17" s="743">
        <f t="shared" si="0"/>
        <v>0</v>
      </c>
      <c r="F17" s="744">
        <f t="shared" si="6"/>
        <v>1218.6720035468975</v>
      </c>
      <c r="G17" s="745">
        <f t="shared" si="1"/>
        <v>61.765962318714799</v>
      </c>
      <c r="H17" s="746">
        <f t="shared" si="2"/>
        <v>1280.4379658656123</v>
      </c>
      <c r="I17" s="96"/>
      <c r="J17" s="743">
        <f t="shared" si="3"/>
        <v>-25</v>
      </c>
      <c r="K17" s="745">
        <f t="shared" si="7"/>
        <v>1332.001386309752</v>
      </c>
      <c r="L17" s="745">
        <f t="shared" si="4"/>
        <v>68.776911465355099</v>
      </c>
      <c r="M17" s="747">
        <f t="shared" si="5"/>
        <v>1425.7782977751071</v>
      </c>
      <c r="N17" s="96"/>
      <c r="O17" s="743">
        <f>R$20-Q$9</f>
        <v>896.30657610592857</v>
      </c>
      <c r="P17" s="750">
        <f t="shared" si="8"/>
        <v>1218.6720035468975</v>
      </c>
      <c r="Q17" s="751">
        <f>R16*$U$12</f>
        <v>61.765962318714799</v>
      </c>
      <c r="R17" s="752">
        <f>SUM(P17:Q17)+Q$9</f>
        <v>1280.4379658656123</v>
      </c>
      <c r="U17" s="64"/>
    </row>
    <row r="18" spans="1:23" s="60" customFormat="1" x14ac:dyDescent="0.3">
      <c r="A18" s="109"/>
      <c r="B18" s="109"/>
      <c r="C18" s="110">
        <v>6</v>
      </c>
      <c r="E18" s="743">
        <f t="shared" si="0"/>
        <v>0</v>
      </c>
      <c r="F18" s="744">
        <f t="shared" si="6"/>
        <v>1280.4379658656123</v>
      </c>
      <c r="G18" s="745">
        <f t="shared" si="1"/>
        <v>64.896447051319953</v>
      </c>
      <c r="H18" s="746">
        <f t="shared" si="2"/>
        <v>1345.3344129169323</v>
      </c>
      <c r="I18" s="96"/>
      <c r="J18" s="743">
        <f t="shared" si="3"/>
        <v>-25</v>
      </c>
      <c r="K18" s="745">
        <f t="shared" si="7"/>
        <v>1425.7782977751071</v>
      </c>
      <c r="L18" s="745">
        <f t="shared" si="4"/>
        <v>73.529807374243262</v>
      </c>
      <c r="M18" s="747">
        <f t="shared" si="5"/>
        <v>1524.3081051493505</v>
      </c>
      <c r="N18" s="96"/>
      <c r="O18" s="743"/>
      <c r="P18" s="753" t="s">
        <v>355</v>
      </c>
      <c r="Q18" s="348"/>
      <c r="R18" s="746">
        <f>-$U$14*R17</f>
        <v>-128.04379658656123</v>
      </c>
      <c r="U18" s="64"/>
      <c r="W18" s="113" t="s">
        <v>98</v>
      </c>
    </row>
    <row r="19" spans="1:23" s="60" customFormat="1" x14ac:dyDescent="0.3">
      <c r="A19" s="109"/>
      <c r="B19" s="109"/>
      <c r="C19" s="110">
        <v>7</v>
      </c>
      <c r="E19" s="743">
        <f t="shared" si="0"/>
        <v>0</v>
      </c>
      <c r="F19" s="744">
        <f t="shared" si="6"/>
        <v>1345.3344129169323</v>
      </c>
      <c r="G19" s="745">
        <f t="shared" si="1"/>
        <v>68.185594165165213</v>
      </c>
      <c r="H19" s="746">
        <f t="shared" si="2"/>
        <v>1413.5200070820974</v>
      </c>
      <c r="I19" s="96"/>
      <c r="J19" s="743">
        <f t="shared" si="3"/>
        <v>-25</v>
      </c>
      <c r="K19" s="745">
        <f t="shared" si="7"/>
        <v>1524.3081051493505</v>
      </c>
      <c r="L19" s="745">
        <f t="shared" si="4"/>
        <v>78.523594342217649</v>
      </c>
      <c r="M19" s="747">
        <f t="shared" si="5"/>
        <v>1627.8316994915681</v>
      </c>
      <c r="N19" s="96"/>
      <c r="O19" s="743"/>
      <c r="P19" s="754" t="s">
        <v>358</v>
      </c>
      <c r="Q19" s="348"/>
      <c r="R19" s="746">
        <f>-$U$13*R17</f>
        <v>-256.08759317312246</v>
      </c>
      <c r="U19" s="64"/>
      <c r="W19" s="66" t="s">
        <v>122</v>
      </c>
    </row>
    <row r="20" spans="1:23" s="60" customFormat="1" x14ac:dyDescent="0.3">
      <c r="A20" s="109"/>
      <c r="B20" s="109"/>
      <c r="C20" s="110">
        <v>8</v>
      </c>
      <c r="E20" s="743">
        <f>H$22</f>
        <v>1188.1291617832076</v>
      </c>
      <c r="F20" s="750">
        <f t="shared" si="6"/>
        <v>1413.5200070820974</v>
      </c>
      <c r="G20" s="751">
        <f t="shared" si="1"/>
        <v>71.64144514691192</v>
      </c>
      <c r="H20" s="752">
        <f>SUM(F20:G20)</f>
        <v>1485.1614522290095</v>
      </c>
      <c r="I20" s="96"/>
      <c r="J20" s="743">
        <f>M$22</f>
        <v>1368.2680846049884</v>
      </c>
      <c r="K20" s="751">
        <f t="shared" si="7"/>
        <v>1627.8316994915681</v>
      </c>
      <c r="L20" s="751">
        <f>K20*$U$12</f>
        <v>82.503406264667234</v>
      </c>
      <c r="M20" s="755">
        <f>SUM(K20:L20)</f>
        <v>1710.3351057562354</v>
      </c>
      <c r="N20" s="96"/>
      <c r="O20" s="756"/>
      <c r="P20" s="757" t="s">
        <v>357</v>
      </c>
      <c r="Q20" s="140"/>
      <c r="R20" s="758">
        <f>SUM(R17:R19)</f>
        <v>896.30657610592857</v>
      </c>
      <c r="U20" s="64"/>
    </row>
    <row r="21" spans="1:23" s="60" customFormat="1" x14ac:dyDescent="0.3">
      <c r="A21" s="109"/>
      <c r="B21" s="109"/>
      <c r="C21" s="46"/>
      <c r="E21" s="717"/>
      <c r="F21" s="744"/>
      <c r="G21" s="759" t="s">
        <v>356</v>
      </c>
      <c r="H21" s="746">
        <f>-$U$13*H20</f>
        <v>-297.03229044580189</v>
      </c>
      <c r="I21" s="96"/>
      <c r="J21" s="717"/>
      <c r="K21" s="745"/>
      <c r="L21" s="760" t="s">
        <v>356</v>
      </c>
      <c r="M21" s="747">
        <f>-$U$13*M20</f>
        <v>-342.0670211512471</v>
      </c>
      <c r="N21" s="96"/>
      <c r="U21" s="64"/>
      <c r="W21" s="113" t="s">
        <v>97</v>
      </c>
    </row>
    <row r="22" spans="1:23" s="60" customFormat="1" x14ac:dyDescent="0.3">
      <c r="A22" s="109"/>
      <c r="B22" s="109"/>
      <c r="C22" s="46"/>
      <c r="E22" s="761"/>
      <c r="F22" s="762"/>
      <c r="G22" s="763" t="s">
        <v>357</v>
      </c>
      <c r="H22" s="758">
        <f>SUM(H20:H21)</f>
        <v>1188.1291617832076</v>
      </c>
      <c r="I22" s="96"/>
      <c r="J22" s="761"/>
      <c r="K22" s="764"/>
      <c r="L22" s="765" t="s">
        <v>357</v>
      </c>
      <c r="M22" s="766">
        <f>SUM(M20:M21)</f>
        <v>1368.2680846049884</v>
      </c>
      <c r="N22" s="96"/>
      <c r="U22" s="64"/>
      <c r="W22" s="66" t="s">
        <v>126</v>
      </c>
    </row>
    <row r="23" spans="1:23" s="60" customFormat="1" ht="7.2" customHeight="1" x14ac:dyDescent="0.3">
      <c r="A23" s="109"/>
      <c r="B23" s="109"/>
      <c r="C23" s="59"/>
      <c r="E23" s="59"/>
      <c r="F23" s="64"/>
      <c r="G23" s="64"/>
      <c r="H23" s="64"/>
      <c r="I23" s="96"/>
      <c r="J23" s="59"/>
      <c r="K23" s="64"/>
      <c r="L23" s="64"/>
      <c r="M23" s="64"/>
      <c r="N23" s="96"/>
      <c r="O23" s="59"/>
      <c r="P23" s="64"/>
      <c r="Q23" s="64"/>
      <c r="R23" s="64"/>
      <c r="U23" s="64"/>
    </row>
    <row r="24" spans="1:23" s="60" customFormat="1" ht="7.2" customHeight="1" x14ac:dyDescent="0.3">
      <c r="A24" s="109"/>
      <c r="B24" s="109"/>
      <c r="C24" s="932" t="s">
        <v>304</v>
      </c>
      <c r="E24" s="933" t="str">
        <f>"= "&amp;TEXT(H22,"#,###")&amp;" / (1 + "&amp;TEXT($U12,"0.0%")&amp;") ^ "&amp;TEXT(C20,"#,###")</f>
        <v>= 1,188 / (1 + 5.1%) ^ 8</v>
      </c>
      <c r="F24" s="934"/>
      <c r="G24" s="934"/>
      <c r="H24" s="937">
        <f>H22/(1+$U$12)^C20</f>
        <v>799.99999999999989</v>
      </c>
      <c r="I24" s="96"/>
      <c r="J24" s="933" t="str">
        <f>"= "&amp;TEXT(M22,"#,###")&amp;" / (1 + "&amp;TEXT($U12,"0.0%")&amp;") ^ "&amp;TEXT(C20,"#,###")</f>
        <v>= 1,368 / (1 + 5.1%) ^ 8</v>
      </c>
      <c r="K24" s="934"/>
      <c r="L24" s="934"/>
      <c r="M24" s="937">
        <f>M22/(1+$U$12)^C20</f>
        <v>921.29248476751025</v>
      </c>
      <c r="N24" s="96"/>
      <c r="O24" s="933" t="str">
        <f>"= "&amp;TEXT(R20,"#,###")&amp;" / (1 + "&amp;TEXT($U12,"0.0%")&amp;") ^ "&amp;TEXT(C17,"#,###")</f>
        <v>= 896 / (1 + 5.1%) ^ 5</v>
      </c>
      <c r="P24" s="934"/>
      <c r="Q24" s="934"/>
      <c r="R24" s="937">
        <f>R20/(1+$U$12)^C17</f>
        <v>699.99999999999989</v>
      </c>
      <c r="U24" s="64"/>
    </row>
    <row r="25" spans="1:23" s="60" customFormat="1" ht="7.2" customHeight="1" x14ac:dyDescent="0.3">
      <c r="A25" s="109"/>
      <c r="B25" s="109"/>
      <c r="C25" s="932"/>
      <c r="E25" s="935"/>
      <c r="F25" s="936"/>
      <c r="G25" s="936"/>
      <c r="H25" s="929"/>
      <c r="I25" s="96"/>
      <c r="J25" s="935"/>
      <c r="K25" s="936"/>
      <c r="L25" s="936"/>
      <c r="M25" s="929"/>
      <c r="O25" s="935"/>
      <c r="P25" s="936"/>
      <c r="Q25" s="936"/>
      <c r="R25" s="929"/>
      <c r="U25" s="64"/>
      <c r="W25" s="931" t="s">
        <v>103</v>
      </c>
    </row>
    <row r="26" spans="1:23" s="60" customFormat="1" ht="7.2" customHeight="1" x14ac:dyDescent="0.3">
      <c r="A26" s="109"/>
      <c r="B26" s="109"/>
      <c r="C26" s="938" t="s">
        <v>305</v>
      </c>
      <c r="E26" s="927" t="str">
        <f>"= −PV("&amp;TEXT($U$12,"0.0%")&amp;", "&amp;TEXT(C20,0)&amp;", "&amp;TEXT(G9,0)&amp;", "&amp;TEXT(H22,"####")&amp;")"</f>
        <v>= −PV(5.1%, 8, 0, 1188)</v>
      </c>
      <c r="F26" s="928"/>
      <c r="G26" s="928"/>
      <c r="H26" s="929">
        <f>-PV($U$12,C20,0,H22)</f>
        <v>799.99999999999989</v>
      </c>
      <c r="I26" s="96"/>
      <c r="J26" s="927" t="str">
        <f>"= −PV("&amp;TEXT($U$12,"0.0%")&amp;", "&amp;TEXT(C20,0)&amp;", "&amp;TEXT(L9,0)&amp;", "&amp;TEXT(M22,"####")&amp;")"</f>
        <v>= −PV(5.1%, 8, 25, 1368)</v>
      </c>
      <c r="K26" s="928"/>
      <c r="L26" s="928"/>
      <c r="M26" s="929">
        <f>-PV($U$12,C20,0,M22)</f>
        <v>921.29248476751025</v>
      </c>
      <c r="N26" s="96"/>
      <c r="O26" s="927" t="str">
        <f>"= −PV("&amp;TEXT($U$12,"0.0%")&amp;", "&amp;TEXT(C17,0)&amp;", "&amp;TEXT(Q9,0)&amp;", "&amp;TEXT(R20,"####")&amp;")"</f>
        <v>= −PV(5.1%, 5, 0, 896)</v>
      </c>
      <c r="P26" s="928"/>
      <c r="Q26" s="928"/>
      <c r="R26" s="929">
        <f>-PV($U$12,C17,0,R20)</f>
        <v>699.99999999999989</v>
      </c>
      <c r="U26" s="64"/>
      <c r="W26" s="931"/>
    </row>
    <row r="27" spans="1:23" s="60" customFormat="1" ht="7.2" customHeight="1" x14ac:dyDescent="0.3">
      <c r="A27" s="109"/>
      <c r="B27" s="109"/>
      <c r="C27" s="938"/>
      <c r="E27" s="927"/>
      <c r="F27" s="928"/>
      <c r="G27" s="928"/>
      <c r="H27" s="929"/>
      <c r="I27" s="96"/>
      <c r="J27" s="927"/>
      <c r="K27" s="928"/>
      <c r="L27" s="928"/>
      <c r="M27" s="929"/>
      <c r="O27" s="927"/>
      <c r="P27" s="928"/>
      <c r="Q27" s="928"/>
      <c r="R27" s="929"/>
      <c r="U27" s="64"/>
      <c r="W27" s="930" t="s">
        <v>187</v>
      </c>
    </row>
    <row r="28" spans="1:23" s="60" customFormat="1" x14ac:dyDescent="0.3">
      <c r="A28" s="109"/>
      <c r="B28" s="109"/>
      <c r="C28" s="119" t="s">
        <v>306</v>
      </c>
      <c r="E28" s="129" t="str">
        <f>"= NPV( "&amp;TEXT($U$12,"0.0%")&amp;", "&amp;TEXT(E13,"0")&amp;":"&amp;TEXT(E19,0)&amp;") −"&amp;TEXT(-E12,"#,###")</f>
        <v>= NPV( 5.1%, 0:0) −1,000</v>
      </c>
      <c r="F28" s="25"/>
      <c r="G28" s="25"/>
      <c r="H28" s="767">
        <f>NPV($U$12,E13:E19)+E12</f>
        <v>-1000</v>
      </c>
      <c r="I28" s="96"/>
      <c r="J28" s="129" t="str">
        <f>"= NPV( "&amp;TEXT($U$12,"0.0%")&amp;", "&amp;TEXT(J13,"0")&amp;":"&amp;TEXT(J19,0)&amp;") -"&amp;TEXT(-J12,"#,###")</f>
        <v>= NPV( 5.1%, -25:-25) -1,000</v>
      </c>
      <c r="K28" s="25"/>
      <c r="L28" s="25"/>
      <c r="M28" s="767">
        <f>NPV($U$12,J13:J19)+J12</f>
        <v>-1144.3019491839223</v>
      </c>
      <c r="N28" s="96"/>
      <c r="O28" s="129" t="str">
        <f>"= NPV( "&amp;TEXT($U$12,"0.0%")&amp;", "&amp;TEXT(O13,"0")&amp;":"&amp;TEXT(O17,0)&amp;") −"&amp;TEXT(-O12,"#,###")</f>
        <v>= NPV( 5.1%, 0:896) −1,000</v>
      </c>
      <c r="P28" s="25"/>
      <c r="Q28" s="25"/>
      <c r="R28" s="767">
        <f>NPV($U$12,O13:O17)+O12</f>
        <v>-300.00000000000011</v>
      </c>
      <c r="U28" s="64"/>
      <c r="W28" s="930"/>
    </row>
    <row r="29" spans="1:23" s="60" customFormat="1" x14ac:dyDescent="0.3">
      <c r="A29" s="109"/>
      <c r="B29" s="109"/>
      <c r="C29" s="120" t="s">
        <v>95</v>
      </c>
      <c r="D29" s="65"/>
      <c r="E29" s="130"/>
      <c r="F29" s="131"/>
      <c r="G29" s="132"/>
      <c r="H29" s="768">
        <f>SUM(H26:H28)</f>
        <v>-200.00000000000011</v>
      </c>
      <c r="I29" s="96"/>
      <c r="J29" s="130"/>
      <c r="K29" s="131"/>
      <c r="L29" s="132"/>
      <c r="M29" s="768">
        <f>SUM(M26:M28)</f>
        <v>-223.00946441641202</v>
      </c>
      <c r="N29" s="96"/>
      <c r="O29" s="130"/>
      <c r="P29" s="131"/>
      <c r="Q29" s="132"/>
      <c r="R29" s="768">
        <f>SUM(R26:R28)</f>
        <v>399.99999999999977</v>
      </c>
    </row>
    <row r="30" spans="1:23" s="60" customFormat="1" x14ac:dyDescent="0.3">
      <c r="A30" s="101"/>
      <c r="B30" s="101"/>
      <c r="C30" s="118" t="s">
        <v>89</v>
      </c>
      <c r="D30" s="65"/>
      <c r="E30" s="133" t="str">
        <f>"= IRR (−"&amp;TEXT(E$12,"0;0")&amp;":"&amp;TEXT(E20,"0;-0")&amp;")"</f>
        <v>= IRR (−1000:1188)</v>
      </c>
      <c r="F30" s="134"/>
      <c r="G30" s="135"/>
      <c r="H30" s="769">
        <f>IRR(E12:E20)</f>
        <v>2.1781315760651454E-2</v>
      </c>
      <c r="I30" s="96"/>
      <c r="J30" s="133" t="str">
        <f>"= IRR (−"&amp;TEXT(J$12,"0;0")&amp;":"&amp;TEXT(J20,"0;-0")&amp;")"</f>
        <v>= IRR (−1000:1368)</v>
      </c>
      <c r="K30" s="134"/>
      <c r="L30" s="135"/>
      <c r="M30" s="769">
        <f>IRR(J12:J20)</f>
        <v>2.0705495600782609E-2</v>
      </c>
      <c r="N30" s="96"/>
      <c r="O30" s="133" t="str">
        <f>"= IRR (−"&amp;TEXT(O$12,"0;0")&amp;":"&amp;TEXT(O17,"0;-0")&amp;")"</f>
        <v>= IRR (−1000:896)</v>
      </c>
      <c r="P30" s="134"/>
      <c r="Q30" s="135"/>
      <c r="R30" s="769">
        <f>IRR(O12:O17)</f>
        <v>-2.1656606757192498E-2</v>
      </c>
      <c r="U30" s="64"/>
    </row>
    <row r="31" spans="1:23" s="123" customFormat="1" x14ac:dyDescent="0.3">
      <c r="A31" s="121"/>
      <c r="B31" s="121"/>
      <c r="C31" s="122" t="s">
        <v>303</v>
      </c>
      <c r="D31" s="113"/>
      <c r="E31" s="136"/>
      <c r="F31" s="135"/>
      <c r="G31" s="137"/>
      <c r="H31" s="770">
        <f>$U$12</f>
        <v>5.0683007518796994E-2</v>
      </c>
      <c r="I31" s="96"/>
      <c r="J31" s="136"/>
      <c r="K31" s="135"/>
      <c r="L31" s="137"/>
      <c r="M31" s="770">
        <f>$U$12</f>
        <v>5.0683007518796994E-2</v>
      </c>
      <c r="N31" s="96"/>
      <c r="O31" s="136"/>
      <c r="P31" s="135"/>
      <c r="Q31" s="137"/>
      <c r="R31" s="770">
        <f>$U$12</f>
        <v>5.0683007518796994E-2</v>
      </c>
      <c r="S31" s="60"/>
      <c r="U31" s="124"/>
    </row>
    <row r="32" spans="1:23" s="60" customFormat="1" x14ac:dyDescent="0.3">
      <c r="A32" s="121"/>
      <c r="B32" s="121"/>
      <c r="C32" s="117" t="s">
        <v>361</v>
      </c>
      <c r="D32" s="113"/>
      <c r="E32" s="138"/>
      <c r="F32" s="139"/>
      <c r="G32" s="139"/>
      <c r="H32" s="771">
        <f>(H30-H31)*100</f>
        <v>-2.8901691758145538</v>
      </c>
      <c r="I32" s="96"/>
      <c r="J32" s="138"/>
      <c r="K32" s="139"/>
      <c r="L32" s="139"/>
      <c r="M32" s="771">
        <f>(M30-M31)*100</f>
        <v>-2.9977511918014383</v>
      </c>
      <c r="N32" s="96"/>
      <c r="O32" s="138"/>
      <c r="P32" s="139"/>
      <c r="Q32" s="139"/>
      <c r="R32" s="771">
        <f>(R30-R31)*100</f>
        <v>-7.233961427598949</v>
      </c>
      <c r="S32" s="113"/>
      <c r="U32" s="64"/>
    </row>
    <row r="33" spans="1:23" s="60" customFormat="1" x14ac:dyDescent="0.3">
      <c r="A33" s="121"/>
      <c r="B33" s="121"/>
      <c r="I33" s="96"/>
      <c r="J33" s="113"/>
      <c r="K33" s="125"/>
      <c r="L33" s="125"/>
      <c r="M33" s="115"/>
      <c r="N33" s="96"/>
      <c r="O33" s="46"/>
      <c r="P33" s="126"/>
      <c r="Q33" s="126"/>
      <c r="R33" s="126"/>
      <c r="S33" s="113"/>
      <c r="U33" s="64"/>
    </row>
    <row r="34" spans="1:23" s="60" customFormat="1" x14ac:dyDescent="0.3">
      <c r="A34" s="109"/>
      <c r="B34" s="109"/>
      <c r="I34" s="96"/>
      <c r="S34" s="127"/>
      <c r="U34" s="64"/>
      <c r="V34" s="64"/>
    </row>
    <row r="35" spans="1:23" s="65" customFormat="1" x14ac:dyDescent="0.3">
      <c r="A35" s="109"/>
      <c r="B35" s="109"/>
      <c r="I35" s="96"/>
      <c r="J35" s="60"/>
      <c r="K35" s="60"/>
      <c r="L35" s="60"/>
      <c r="M35" s="60"/>
      <c r="N35" s="60"/>
      <c r="O35" s="60"/>
      <c r="P35" s="60"/>
      <c r="Q35" s="60"/>
      <c r="R35" s="60"/>
      <c r="S35" s="125"/>
      <c r="U35" s="64"/>
      <c r="V35" s="64"/>
    </row>
    <row r="36" spans="1:23" s="65" customFormat="1" x14ac:dyDescent="0.3">
      <c r="A36" s="109"/>
      <c r="B36" s="109"/>
      <c r="C36" s="59"/>
      <c r="D36" s="115"/>
      <c r="E36" s="113"/>
      <c r="F36" s="125"/>
      <c r="G36" s="125"/>
      <c r="H36" s="115"/>
      <c r="I36" s="96"/>
      <c r="S36" s="125"/>
      <c r="U36" s="64"/>
      <c r="V36" s="64"/>
    </row>
    <row r="37" spans="1:23" x14ac:dyDescent="0.3">
      <c r="I37" s="96"/>
      <c r="N37" s="96"/>
      <c r="O37" s="46"/>
      <c r="W37" s="60"/>
    </row>
  </sheetData>
  <sheetProtection algorithmName="SHA-512" hashValue="dDt8qmOmIH/6EK0yI2rtBdnsU2MglfkOJKN9452OjEKf+goKPiqVMeZ/KV3z2a18KmFwDWX/xLaxFU7Ab5Btpw==" saltValue="Gh6iii1+NWUqw0fAVFFIxA==" spinCount="100000" sheet="1" objects="1" scenarios="1" selectLockedCells="1" selectUnlockedCells="1"/>
  <mergeCells count="17">
    <mergeCell ref="J24:L25"/>
    <mergeCell ref="M24:M25"/>
    <mergeCell ref="J26:L27"/>
    <mergeCell ref="M26:M27"/>
    <mergeCell ref="O24:Q25"/>
    <mergeCell ref="C24:C25"/>
    <mergeCell ref="E24:G25"/>
    <mergeCell ref="H24:H25"/>
    <mergeCell ref="C26:C27"/>
    <mergeCell ref="E26:G27"/>
    <mergeCell ref="H26:H27"/>
    <mergeCell ref="O26:Q27"/>
    <mergeCell ref="R26:R27"/>
    <mergeCell ref="P3:R3"/>
    <mergeCell ref="W27:W28"/>
    <mergeCell ref="W25:W26"/>
    <mergeCell ref="R24:R25"/>
  </mergeCells>
  <phoneticPr fontId="8" type="noConversion"/>
  <hyperlinks>
    <hyperlink ref="T2:V2" r:id="rId1" display="Get 20% off this product" xr:uid="{F37E6F0C-E9FD-4BF1-BDC6-CF1BB15DBFF6}"/>
  </hyperlinks>
  <printOptions horizontalCentered="1"/>
  <pageMargins left="0.5" right="0.5" top="0.75" bottom="0.5" header="0.3" footer="0.3"/>
  <pageSetup orientation="landscape" r:id="rId2"/>
  <headerFooter scaleWithDoc="0" alignWithMargins="0">
    <oddFooter>&amp;L401k Math&amp;RPage &amp;P of &amp;N</oddFooter>
  </headerFooter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A00CD-1B33-45AF-9376-42847C59818E}">
  <sheetPr codeName="Sheet9">
    <tabColor rgb="FFEBF1DE"/>
    <pageSetUpPr fitToPage="1"/>
  </sheetPr>
  <dimension ref="A1:AG104"/>
  <sheetViews>
    <sheetView showGridLines="0" showRowColHeaders="0" showZeros="0" zoomScaleNormal="100" zoomScaleSheetLayoutView="70" workbookViewId="0"/>
  </sheetViews>
  <sheetFormatPr defaultColWidth="9.109375" defaultRowHeight="14.4" x14ac:dyDescent="0.3"/>
  <cols>
    <col min="1" max="1" width="3.109375" style="394" customWidth="1"/>
    <col min="2" max="2" width="5.5546875" style="400" customWidth="1"/>
    <col min="3" max="3" width="13.21875" style="400" customWidth="1"/>
    <col min="4" max="4" width="9.77734375" style="406" bestFit="1" customWidth="1"/>
    <col min="5" max="5" width="16" style="400" customWidth="1"/>
    <col min="6" max="6" width="6.6640625" style="400" customWidth="1"/>
    <col min="7" max="7" width="12" style="397" customWidth="1"/>
    <col min="8" max="8" width="6.33203125" style="397" customWidth="1"/>
    <col min="9" max="9" width="6.5546875" style="397" customWidth="1"/>
    <col min="10" max="10" width="6.109375" style="397" bestFit="1" customWidth="1"/>
    <col min="11" max="11" width="14.5546875" style="397" customWidth="1"/>
    <col min="12" max="12" width="7" style="400" customWidth="1"/>
    <col min="13" max="13" width="4.33203125" style="423" customWidth="1"/>
    <col min="14" max="14" width="5.5546875" style="424" customWidth="1"/>
    <col min="15" max="15" width="1.5546875" style="425" customWidth="1"/>
    <col min="16" max="16" width="4.77734375" style="426" bestFit="1" customWidth="1"/>
    <col min="17" max="17" width="3.33203125" style="424" customWidth="1"/>
    <col min="18" max="18" width="5.5546875" style="424" customWidth="1"/>
    <col min="19" max="19" width="1.5546875" style="425" customWidth="1"/>
    <col min="20" max="20" width="4.77734375" style="426" bestFit="1" customWidth="1"/>
    <col min="21" max="21" width="3.33203125" style="424" customWidth="1"/>
    <col min="22" max="22" width="5.5546875" style="424" customWidth="1"/>
    <col min="23" max="23" width="1.5546875" style="425" customWidth="1"/>
    <col min="24" max="24" width="4.77734375" style="426" bestFit="1" customWidth="1"/>
    <col min="25" max="25" width="3.33203125" style="424" customWidth="1"/>
    <col min="26" max="27" width="2.77734375" style="424" customWidth="1"/>
    <col min="28" max="28" width="1.33203125" style="424" customWidth="1"/>
    <col min="29" max="29" width="2.109375" style="424" customWidth="1"/>
    <col min="30" max="30" width="2.44140625" style="425" customWidth="1"/>
    <col min="31" max="31" width="1.77734375" style="426" customWidth="1"/>
    <col min="32" max="16384" width="9.109375" style="416"/>
  </cols>
  <sheetData>
    <row r="1" spans="1:33" s="67" customFormat="1" ht="8.4" customHeight="1" x14ac:dyDescent="0.2">
      <c r="A1" s="885" t="s">
        <v>59</v>
      </c>
      <c r="E1" s="68"/>
      <c r="H1" s="167"/>
      <c r="W1" s="69"/>
    </row>
    <row r="2" spans="1:33" s="168" customFormat="1" ht="23.4" x14ac:dyDescent="0.45">
      <c r="A2" s="70"/>
      <c r="C2" s="71" t="s">
        <v>91</v>
      </c>
      <c r="D2" s="367"/>
      <c r="E2" s="73"/>
      <c r="F2" s="73"/>
      <c r="G2" s="368"/>
      <c r="H2" s="71"/>
      <c r="I2" s="71"/>
      <c r="J2" s="71"/>
      <c r="K2" s="72"/>
      <c r="L2" s="72"/>
      <c r="M2" s="73"/>
      <c r="N2" s="73"/>
      <c r="O2" s="73"/>
      <c r="P2" s="225"/>
      <c r="Q2" s="70"/>
      <c r="R2" s="70"/>
      <c r="S2" s="70"/>
      <c r="T2" s="225"/>
      <c r="U2" s="70"/>
      <c r="V2" s="70"/>
      <c r="W2" s="70"/>
      <c r="X2" s="225"/>
      <c r="Y2" s="70"/>
      <c r="Z2" s="70"/>
      <c r="AA2" s="70"/>
      <c r="AB2" s="70"/>
      <c r="AC2" s="70"/>
      <c r="AD2" s="70"/>
      <c r="AE2" s="225"/>
    </row>
    <row r="3" spans="1:33" s="77" customFormat="1" ht="18" x14ac:dyDescent="0.35">
      <c r="A3" s="75"/>
      <c r="C3" s="76" t="s">
        <v>231</v>
      </c>
      <c r="D3" s="369"/>
      <c r="E3" s="370"/>
      <c r="F3" s="78"/>
      <c r="G3" s="78"/>
      <c r="H3" s="79"/>
      <c r="I3" s="79"/>
      <c r="J3" s="79"/>
      <c r="K3" s="79"/>
      <c r="L3" s="78"/>
      <c r="N3" s="78"/>
      <c r="O3" s="78"/>
      <c r="P3" s="79"/>
      <c r="Q3" s="78"/>
      <c r="R3" s="78"/>
      <c r="S3" s="78"/>
      <c r="T3" s="79"/>
      <c r="U3" s="78"/>
      <c r="V3" s="78"/>
      <c r="W3" s="898"/>
      <c r="X3" s="898"/>
      <c r="Y3" s="898"/>
      <c r="Z3" s="898"/>
      <c r="AA3" s="898"/>
      <c r="AB3" s="898"/>
      <c r="AC3" s="898"/>
      <c r="AD3" s="898"/>
      <c r="AE3" s="898"/>
    </row>
    <row r="4" spans="1:33" s="85" customFormat="1" x14ac:dyDescent="0.3">
      <c r="A4" s="81"/>
      <c r="C4" s="82"/>
      <c r="D4" s="82"/>
      <c r="E4" s="83"/>
      <c r="G4" s="84"/>
      <c r="H4" s="83"/>
      <c r="I4" s="83"/>
      <c r="J4" s="83"/>
      <c r="K4" s="83"/>
      <c r="M4" s="89"/>
      <c r="N4" s="81"/>
      <c r="O4" s="81"/>
      <c r="Q4" s="81"/>
      <c r="R4" s="81"/>
      <c r="S4" s="81"/>
      <c r="U4" s="81"/>
      <c r="V4" s="81"/>
      <c r="W4" s="81"/>
      <c r="Y4" s="81"/>
      <c r="Z4" s="81"/>
      <c r="AA4" s="81"/>
      <c r="AB4" s="81"/>
      <c r="AC4" s="81"/>
      <c r="AD4" s="81"/>
    </row>
    <row r="5" spans="1:33" s="85" customFormat="1" ht="15.6" x14ac:dyDescent="0.3">
      <c r="A5" s="81"/>
      <c r="C5" s="86" t="s">
        <v>216</v>
      </c>
      <c r="D5" s="181"/>
      <c r="E5" s="181"/>
      <c r="F5" s="181"/>
      <c r="G5" s="83"/>
      <c r="H5" s="83"/>
      <c r="I5" s="83"/>
      <c r="J5" s="83"/>
      <c r="K5" s="83"/>
      <c r="L5" s="181"/>
      <c r="M5" s="83"/>
      <c r="N5" s="371"/>
      <c r="O5" s="81"/>
      <c r="P5" s="84"/>
      <c r="Q5" s="81"/>
      <c r="R5" s="81"/>
      <c r="S5" s="81"/>
      <c r="T5" s="84"/>
      <c r="U5" s="81"/>
      <c r="V5" s="81"/>
      <c r="W5" s="81"/>
      <c r="Y5" s="81"/>
      <c r="Z5" s="81"/>
      <c r="AA5" s="81"/>
      <c r="AB5" s="81"/>
      <c r="AC5" s="81"/>
      <c r="AD5" s="81"/>
    </row>
    <row r="6" spans="1:33" s="85" customFormat="1" ht="9.6" customHeight="1" x14ac:dyDescent="0.3">
      <c r="A6" s="81"/>
      <c r="E6" s="89"/>
      <c r="F6" s="90"/>
      <c r="L6" s="90"/>
      <c r="M6" s="91"/>
      <c r="N6" s="372"/>
      <c r="O6" s="81"/>
      <c r="P6" s="373"/>
      <c r="Q6" s="371"/>
      <c r="R6" s="81"/>
      <c r="S6" s="81"/>
      <c r="U6" s="371"/>
      <c r="V6" s="81"/>
      <c r="W6" s="81"/>
      <c r="Y6" s="371"/>
      <c r="Z6" s="81"/>
      <c r="AA6" s="81"/>
      <c r="AB6" s="81"/>
      <c r="AC6" s="81"/>
      <c r="AD6" s="81"/>
    </row>
    <row r="7" spans="1:33" s="375" customFormat="1" ht="16.2" customHeight="1" x14ac:dyDescent="0.3">
      <c r="A7" s="374"/>
      <c r="C7" s="376" t="s">
        <v>260</v>
      </c>
      <c r="D7" s="377"/>
      <c r="F7" s="378"/>
      <c r="G7" s="379" t="s">
        <v>227</v>
      </c>
      <c r="L7" s="378"/>
      <c r="M7" s="380" t="s">
        <v>312</v>
      </c>
      <c r="N7" s="374"/>
      <c r="O7" s="374"/>
      <c r="P7" s="377"/>
      <c r="Q7" s="374"/>
      <c r="R7" s="374"/>
      <c r="S7" s="374"/>
      <c r="T7" s="377"/>
      <c r="U7" s="374"/>
      <c r="V7" s="374"/>
      <c r="W7" s="374"/>
      <c r="X7" s="377"/>
      <c r="Y7" s="374"/>
      <c r="Z7" s="374"/>
      <c r="AA7" s="374"/>
      <c r="AB7" s="374"/>
      <c r="AC7" s="374"/>
      <c r="AD7" s="374"/>
      <c r="AE7" s="377"/>
    </row>
    <row r="8" spans="1:33" s="382" customFormat="1" ht="13.8" x14ac:dyDescent="0.3">
      <c r="A8" s="381"/>
      <c r="D8" s="383" t="s">
        <v>110</v>
      </c>
      <c r="E8" s="384" t="s">
        <v>23</v>
      </c>
      <c r="G8" s="385" t="s">
        <v>83</v>
      </c>
      <c r="H8" s="386"/>
      <c r="I8" s="386"/>
      <c r="J8" s="386"/>
      <c r="K8" s="386"/>
      <c r="M8" s="385" t="s">
        <v>99</v>
      </c>
      <c r="N8" s="381"/>
      <c r="R8" s="381"/>
      <c r="V8" s="381"/>
      <c r="AF8" s="387"/>
      <c r="AG8" s="387"/>
    </row>
    <row r="9" spans="1:33" s="387" customFormat="1" ht="13.8" x14ac:dyDescent="0.3">
      <c r="A9" s="388"/>
      <c r="C9" s="389" t="s">
        <v>284</v>
      </c>
      <c r="D9" s="387" t="s">
        <v>78</v>
      </c>
      <c r="E9" s="387" t="s">
        <v>77</v>
      </c>
      <c r="G9" s="390" t="s">
        <v>311</v>
      </c>
      <c r="H9" s="391"/>
      <c r="I9" s="391"/>
      <c r="J9" s="391"/>
      <c r="K9" s="392"/>
      <c r="M9" s="579" t="s">
        <v>308</v>
      </c>
      <c r="N9" s="388"/>
      <c r="R9" s="388"/>
      <c r="V9" s="388"/>
    </row>
    <row r="10" spans="1:33" s="387" customFormat="1" x14ac:dyDescent="0.3">
      <c r="A10" s="388"/>
      <c r="C10" s="389"/>
      <c r="D10" s="387" t="s">
        <v>108</v>
      </c>
      <c r="E10" s="387" t="s">
        <v>102</v>
      </c>
      <c r="G10" s="393" t="s">
        <v>288</v>
      </c>
      <c r="H10" s="391"/>
      <c r="I10" s="391"/>
      <c r="J10" s="391"/>
      <c r="K10" s="392"/>
      <c r="M10" s="400"/>
      <c r="N10" s="394"/>
      <c r="O10" s="394"/>
      <c r="P10" s="397"/>
      <c r="Q10" s="394"/>
      <c r="R10" s="395"/>
      <c r="S10" s="396"/>
      <c r="T10" s="396"/>
      <c r="U10" s="396"/>
      <c r="V10" s="395"/>
      <c r="W10" s="394"/>
      <c r="X10" s="397"/>
      <c r="Y10" s="396"/>
      <c r="Z10" s="396"/>
      <c r="AA10" s="396"/>
      <c r="AB10" s="396"/>
      <c r="AC10" s="396"/>
      <c r="AD10" s="396"/>
      <c r="AE10" s="580"/>
    </row>
    <row r="11" spans="1:33" s="387" customFormat="1" ht="13.8" x14ac:dyDescent="0.3">
      <c r="A11" s="388"/>
      <c r="C11" s="389"/>
      <c r="D11" s="387" t="s">
        <v>100</v>
      </c>
      <c r="E11" s="387" t="s">
        <v>101</v>
      </c>
      <c r="G11" s="393" t="s">
        <v>289</v>
      </c>
      <c r="H11" s="391"/>
      <c r="I11" s="391"/>
      <c r="J11" s="391"/>
      <c r="K11" s="398"/>
      <c r="M11" s="383" t="s">
        <v>68</v>
      </c>
      <c r="N11" s="381"/>
      <c r="O11" s="382"/>
      <c r="P11" s="382"/>
      <c r="Q11" s="382"/>
      <c r="R11" s="381"/>
      <c r="S11" s="382"/>
      <c r="T11" s="382"/>
      <c r="U11" s="382"/>
      <c r="V11" s="381"/>
      <c r="W11" s="382"/>
      <c r="X11" s="382"/>
      <c r="Y11" s="382"/>
      <c r="Z11" s="382"/>
      <c r="AA11" s="382"/>
      <c r="AB11" s="382"/>
      <c r="AC11" s="382"/>
      <c r="AD11" s="382"/>
      <c r="AE11" s="382"/>
    </row>
    <row r="12" spans="1:33" s="387" customFormat="1" ht="13.8" x14ac:dyDescent="0.3">
      <c r="A12" s="388"/>
      <c r="C12" s="385"/>
      <c r="G12" s="393" t="s">
        <v>290</v>
      </c>
      <c r="H12" s="391"/>
      <c r="I12" s="391"/>
      <c r="J12" s="391"/>
      <c r="K12" s="398"/>
      <c r="M12" s="399" t="s">
        <v>279</v>
      </c>
      <c r="N12" s="410"/>
      <c r="O12" s="399"/>
      <c r="P12" s="399"/>
      <c r="Q12" s="399" t="s">
        <v>76</v>
      </c>
      <c r="R12" s="410"/>
      <c r="S12" s="399"/>
      <c r="T12" s="399"/>
      <c r="U12" s="399" t="s">
        <v>77</v>
      </c>
      <c r="V12" s="410"/>
      <c r="W12" s="399"/>
      <c r="X12" s="399"/>
      <c r="Y12" s="399" t="s">
        <v>12</v>
      </c>
      <c r="Z12" s="399"/>
      <c r="AA12" s="399"/>
      <c r="AB12" s="399"/>
      <c r="AC12" s="399"/>
      <c r="AD12" s="399"/>
      <c r="AE12" s="399"/>
    </row>
    <row r="13" spans="1:33" s="387" customFormat="1" ht="13.8" x14ac:dyDescent="0.3">
      <c r="A13" s="388"/>
      <c r="C13" s="389" t="s">
        <v>296</v>
      </c>
      <c r="D13" s="399" t="s">
        <v>105</v>
      </c>
      <c r="E13" s="399" t="s">
        <v>106</v>
      </c>
      <c r="G13" s="390" t="s">
        <v>309</v>
      </c>
      <c r="H13" s="391"/>
      <c r="I13" s="391"/>
      <c r="J13" s="391"/>
      <c r="K13" s="398"/>
      <c r="M13" s="944" t="s">
        <v>277</v>
      </c>
      <c r="N13" s="772">
        <f>Financials!$J$18</f>
        <v>850</v>
      </c>
      <c r="O13" s="942" t="s">
        <v>278</v>
      </c>
      <c r="P13" s="950">
        <f>S22</f>
        <v>4.7771428571428569E-2</v>
      </c>
      <c r="Q13" s="773"/>
      <c r="R13" s="774">
        <f>Financials!$J$20</f>
        <v>1800</v>
      </c>
      <c r="S13" s="942" t="s">
        <v>278</v>
      </c>
      <c r="T13" s="948">
        <f>S21</f>
        <v>6.2771428571428561E-2</v>
      </c>
      <c r="U13" s="773"/>
      <c r="V13" s="774">
        <f>Financials!$J$23</f>
        <v>500</v>
      </c>
      <c r="W13" s="942" t="s">
        <v>278</v>
      </c>
      <c r="X13" s="948">
        <f>S20</f>
        <v>4.1500000000000002E-2</v>
      </c>
      <c r="Y13" s="773"/>
      <c r="Z13" s="946">
        <f>Financials!$J$24</f>
        <v>1600</v>
      </c>
      <c r="AA13" s="946"/>
      <c r="AB13" s="942" t="s">
        <v>276</v>
      </c>
      <c r="AC13" s="948">
        <f>$S$19</f>
        <v>4.1500000000000002E-2</v>
      </c>
      <c r="AD13" s="948"/>
      <c r="AE13" s="775"/>
    </row>
    <row r="14" spans="1:33" s="387" customFormat="1" ht="13.8" x14ac:dyDescent="0.3">
      <c r="A14" s="388"/>
      <c r="C14" s="389"/>
      <c r="G14" s="390" t="s">
        <v>310</v>
      </c>
      <c r="H14" s="391"/>
      <c r="I14" s="391"/>
      <c r="J14" s="391"/>
      <c r="K14" s="398"/>
      <c r="M14" s="945"/>
      <c r="N14" s="776">
        <f>(Financials!$J$27-Financials!$J$25-Financials!$J$17)</f>
        <v>4750</v>
      </c>
      <c r="O14" s="943"/>
      <c r="P14" s="951"/>
      <c r="Q14" s="777"/>
      <c r="R14" s="776">
        <f>(Financials!$J$27-Financials!$J$25-Financials!$J$17)</f>
        <v>4750</v>
      </c>
      <c r="S14" s="943"/>
      <c r="T14" s="949"/>
      <c r="U14" s="777"/>
      <c r="V14" s="776">
        <f>(Financials!$J$27-Financials!$J$25-Financials!$J$17)</f>
        <v>4750</v>
      </c>
      <c r="W14" s="943"/>
      <c r="X14" s="949"/>
      <c r="Y14" s="777"/>
      <c r="Z14" s="947">
        <f>(Financials!$J$27-Financials!$J$25-Financials!$J$17)</f>
        <v>4750</v>
      </c>
      <c r="AA14" s="947"/>
      <c r="AB14" s="943"/>
      <c r="AC14" s="949"/>
      <c r="AD14" s="949"/>
      <c r="AE14" s="778"/>
    </row>
    <row r="15" spans="1:33" s="387" customFormat="1" x14ac:dyDescent="0.3">
      <c r="A15" s="388"/>
      <c r="C15" s="385" t="s">
        <v>285</v>
      </c>
      <c r="D15" s="387" t="s">
        <v>34</v>
      </c>
      <c r="E15" s="387" t="s">
        <v>22</v>
      </c>
      <c r="M15" s="400"/>
      <c r="N15" s="394"/>
      <c r="O15" s="394"/>
      <c r="P15" s="397"/>
      <c r="Q15" s="394"/>
      <c r="R15" s="394"/>
      <c r="S15" s="394"/>
      <c r="T15" s="397"/>
      <c r="U15" s="394"/>
      <c r="V15" s="394"/>
      <c r="W15" s="394"/>
      <c r="X15" s="397"/>
      <c r="Y15" s="394"/>
      <c r="Z15" s="394"/>
      <c r="AA15" s="394"/>
      <c r="AB15" s="394"/>
      <c r="AC15" s="394"/>
      <c r="AD15" s="394"/>
      <c r="AE15" s="397"/>
      <c r="AF15" s="400"/>
      <c r="AG15" s="400"/>
    </row>
    <row r="16" spans="1:33" s="400" customFormat="1" x14ac:dyDescent="0.3">
      <c r="A16" s="388"/>
      <c r="B16" s="387"/>
      <c r="C16" s="401"/>
      <c r="E16" s="402" t="s">
        <v>125</v>
      </c>
      <c r="G16" s="385" t="s">
        <v>11</v>
      </c>
      <c r="H16" s="391" t="s">
        <v>292</v>
      </c>
      <c r="I16" s="391"/>
      <c r="J16" s="779">
        <v>1.1000000000000001</v>
      </c>
      <c r="K16" s="403"/>
      <c r="M16" s="383" t="s">
        <v>204</v>
      </c>
      <c r="N16" s="381"/>
      <c r="O16" s="382"/>
      <c r="P16" s="382"/>
      <c r="Q16" s="382"/>
      <c r="R16" s="381"/>
      <c r="S16" s="382"/>
      <c r="T16" s="382"/>
      <c r="U16" s="382"/>
      <c r="V16" s="381"/>
      <c r="W16" s="382"/>
      <c r="X16" s="382"/>
      <c r="Y16" s="382"/>
      <c r="Z16" s="382"/>
      <c r="AA16" s="382"/>
      <c r="AB16" s="382"/>
      <c r="AC16" s="382"/>
      <c r="AD16" s="382"/>
      <c r="AE16" s="382"/>
    </row>
    <row r="17" spans="1:33" s="400" customFormat="1" x14ac:dyDescent="0.3">
      <c r="A17" s="388"/>
      <c r="B17" s="387"/>
      <c r="C17" s="389"/>
      <c r="D17" s="399"/>
      <c r="E17" s="399"/>
      <c r="G17" s="404"/>
      <c r="H17" s="391" t="s">
        <v>84</v>
      </c>
      <c r="I17" s="391"/>
      <c r="J17" s="780">
        <v>2.5000000000000001E-2</v>
      </c>
      <c r="K17" s="403"/>
      <c r="M17" s="382"/>
      <c r="N17" s="381"/>
      <c r="O17" s="382"/>
      <c r="P17" s="382"/>
      <c r="Q17" s="382"/>
      <c r="R17" s="381"/>
      <c r="S17" s="382"/>
      <c r="T17" s="382"/>
      <c r="U17" s="382"/>
      <c r="V17" s="381"/>
      <c r="W17" s="382"/>
      <c r="X17" s="382"/>
      <c r="Y17" s="382"/>
      <c r="Z17" s="382"/>
      <c r="AA17" s="382"/>
      <c r="AB17" s="382"/>
      <c r="AC17" s="382"/>
      <c r="AD17" s="382"/>
      <c r="AE17" s="382"/>
    </row>
    <row r="18" spans="1:33" s="400" customFormat="1" x14ac:dyDescent="0.3">
      <c r="A18" s="388"/>
      <c r="B18" s="387"/>
      <c r="C18" s="405" t="s">
        <v>286</v>
      </c>
      <c r="D18" s="402" t="s">
        <v>109</v>
      </c>
      <c r="E18" s="402" t="s">
        <v>107</v>
      </c>
      <c r="G18" s="406"/>
      <c r="H18" s="391" t="s">
        <v>219</v>
      </c>
      <c r="I18" s="391"/>
      <c r="J18" s="781">
        <v>0.04</v>
      </c>
      <c r="K18" s="406"/>
      <c r="M18" s="581"/>
      <c r="N18" s="582"/>
      <c r="O18" s="581"/>
      <c r="P18" s="581"/>
      <c r="Q18" s="583"/>
      <c r="R18" s="583" t="s">
        <v>72</v>
      </c>
      <c r="S18" s="583" t="s">
        <v>48</v>
      </c>
      <c r="T18" s="583" t="s">
        <v>73</v>
      </c>
      <c r="U18" s="583"/>
      <c r="V18" s="395"/>
      <c r="W18" s="584"/>
      <c r="X18" s="585"/>
      <c r="Y18" s="395"/>
      <c r="Z18" s="395"/>
      <c r="AA18" s="395"/>
      <c r="AB18" s="395"/>
      <c r="AC18" s="395"/>
      <c r="AD18" s="584"/>
      <c r="AE18" s="397"/>
    </row>
    <row r="19" spans="1:33" s="400" customFormat="1" x14ac:dyDescent="0.3">
      <c r="A19" s="388"/>
      <c r="B19" s="387"/>
      <c r="C19" s="401"/>
      <c r="K19" s="407"/>
      <c r="M19" s="396"/>
      <c r="N19" s="395"/>
      <c r="O19" s="394"/>
      <c r="P19" s="586"/>
      <c r="Q19" s="583" t="s">
        <v>12</v>
      </c>
      <c r="R19" s="587">
        <f>T19*S19</f>
        <v>1.3978947368421053E-2</v>
      </c>
      <c r="S19" s="583">
        <f>H24</f>
        <v>4.1500000000000002E-2</v>
      </c>
      <c r="T19" s="583">
        <f>Financials!$J$24/(Financials!$J$27-Financials!$J$25-Financials!$J$17)</f>
        <v>0.33684210526315789</v>
      </c>
      <c r="U19" s="588">
        <v>20</v>
      </c>
      <c r="V19" s="394"/>
      <c r="X19" s="397"/>
      <c r="Y19" s="395"/>
      <c r="Z19" s="394"/>
      <c r="AA19" s="394"/>
      <c r="AB19" s="394"/>
      <c r="AC19" s="394"/>
      <c r="AD19" s="394"/>
      <c r="AE19" s="586"/>
    </row>
    <row r="20" spans="1:33" s="400" customFormat="1" x14ac:dyDescent="0.3">
      <c r="A20" s="388"/>
      <c r="B20" s="387"/>
      <c r="C20" s="389" t="s">
        <v>287</v>
      </c>
      <c r="D20" s="408" t="str">
        <f>"S/T = "&amp;TEXT(Financials!T8,"0.0%")</f>
        <v>S/T = 4.8%</v>
      </c>
      <c r="E20" s="409" t="s">
        <v>239</v>
      </c>
      <c r="G20" s="385" t="s">
        <v>99</v>
      </c>
      <c r="H20" s="404" t="s">
        <v>291</v>
      </c>
      <c r="I20" s="404"/>
      <c r="J20" s="384"/>
      <c r="K20" s="384"/>
      <c r="M20" s="396"/>
      <c r="N20" s="394"/>
      <c r="O20" s="394"/>
      <c r="P20" s="397"/>
      <c r="Q20" s="583" t="s">
        <v>77</v>
      </c>
      <c r="R20" s="583">
        <f>T20*S20</f>
        <v>4.3684210526315787E-3</v>
      </c>
      <c r="S20" s="583">
        <f>H24</f>
        <v>4.1500000000000002E-2</v>
      </c>
      <c r="T20" s="583">
        <f>Financials!$J$23/(Financials!$J$27-Financials!$J$25-Financials!$J$17)</f>
        <v>0.10526315789473684</v>
      </c>
      <c r="U20" s="588">
        <v>20</v>
      </c>
      <c r="V20" s="394"/>
      <c r="X20" s="397"/>
      <c r="Y20" s="394"/>
      <c r="Z20" s="395"/>
      <c r="AA20" s="395"/>
      <c r="AB20" s="395"/>
      <c r="AC20" s="395"/>
      <c r="AD20" s="394"/>
      <c r="AE20" s="397"/>
    </row>
    <row r="21" spans="1:33" s="400" customFormat="1" x14ac:dyDescent="0.3">
      <c r="A21" s="388"/>
      <c r="B21" s="387"/>
      <c r="C21" s="408"/>
      <c r="D21" s="402" t="str">
        <f>"L/T = "&amp;TEXT(Financials!T9,"0.0%")</f>
        <v>L/T = 6.3%</v>
      </c>
      <c r="N21" s="394"/>
      <c r="O21" s="394"/>
      <c r="P21" s="397"/>
      <c r="Q21" s="583" t="s">
        <v>76</v>
      </c>
      <c r="R21" s="583">
        <f>T21*S21</f>
        <v>2.3787067669172931E-2</v>
      </c>
      <c r="S21" s="583">
        <f>Financials!$T$9</f>
        <v>6.2771428571428561E-2</v>
      </c>
      <c r="T21" s="583">
        <f>Financials!$J$20/(Financials!$J$27-Financials!$J$25-Financials!$J$17)</f>
        <v>0.37894736842105264</v>
      </c>
      <c r="U21" s="588">
        <v>20</v>
      </c>
      <c r="V21" s="395"/>
      <c r="W21" s="394"/>
      <c r="X21" s="397"/>
      <c r="Y21" s="394"/>
      <c r="Z21" s="394"/>
      <c r="AA21" s="394"/>
      <c r="AB21" s="394"/>
      <c r="AC21" s="394"/>
      <c r="AD21" s="394"/>
      <c r="AE21" s="397"/>
    </row>
    <row r="22" spans="1:33" s="400" customFormat="1" x14ac:dyDescent="0.3">
      <c r="A22" s="410"/>
      <c r="B22" s="387"/>
      <c r="C22" s="411"/>
      <c r="E22" s="402"/>
      <c r="G22" s="385" t="s">
        <v>68</v>
      </c>
      <c r="H22" s="412" t="str">
        <f>"= "&amp;TEXT(J17,"0.0%")&amp;" + "&amp;TEXT( J16,"0.0")&amp;" * ("&amp;TEXT(J18,"0.0%")&amp;"−"&amp;TEXT(J17,"0.0%")&amp;")"</f>
        <v>= 2.5% + 1.1 * (4.0%−2.5%)</v>
      </c>
      <c r="I22" s="412"/>
      <c r="K22" s="407"/>
      <c r="N22" s="394"/>
      <c r="O22" s="394"/>
      <c r="P22" s="397"/>
      <c r="Q22" s="583" t="s">
        <v>75</v>
      </c>
      <c r="R22" s="583">
        <f>T22*S22</f>
        <v>8.5485714285714279E-3</v>
      </c>
      <c r="S22" s="583">
        <f>Financials!$T$8</f>
        <v>4.7771428571428569E-2</v>
      </c>
      <c r="T22" s="583">
        <f>Financials!$J$18/(Financials!$J$27-Financials!$J$25-Financials!$J$17)</f>
        <v>0.17894736842105263</v>
      </c>
      <c r="U22" s="588">
        <v>20</v>
      </c>
      <c r="V22" s="394"/>
      <c r="W22" s="394"/>
      <c r="X22" s="397"/>
      <c r="Y22" s="394"/>
      <c r="Z22" s="395"/>
      <c r="AA22" s="395"/>
      <c r="AB22" s="395"/>
      <c r="AC22" s="395"/>
      <c r="AD22" s="394"/>
      <c r="AE22" s="586"/>
    </row>
    <row r="23" spans="1:33" s="400" customFormat="1" x14ac:dyDescent="0.3">
      <c r="A23" s="410"/>
      <c r="B23" s="387"/>
      <c r="C23" s="413"/>
      <c r="D23" s="402"/>
      <c r="F23" s="396"/>
      <c r="K23" s="407"/>
      <c r="L23" s="396"/>
      <c r="M23" s="396"/>
      <c r="N23" s="394"/>
      <c r="O23" s="394"/>
      <c r="P23" s="397"/>
      <c r="Q23" s="394"/>
      <c r="R23" s="394"/>
      <c r="V23" s="394"/>
      <c r="W23" s="394"/>
      <c r="X23" s="397"/>
      <c r="Y23" s="394"/>
      <c r="Z23" s="395"/>
      <c r="AA23" s="395"/>
      <c r="AB23" s="395"/>
      <c r="AC23" s="395"/>
      <c r="AD23" s="394"/>
      <c r="AE23" s="397"/>
      <c r="AF23" s="396"/>
      <c r="AG23" s="396"/>
    </row>
    <row r="24" spans="1:33" s="396" customFormat="1" x14ac:dyDescent="0.3">
      <c r="A24" s="388"/>
      <c r="B24" s="387"/>
      <c r="G24" s="385" t="s">
        <v>9</v>
      </c>
      <c r="H24" s="782">
        <f>J17+J16*(J18-J17)</f>
        <v>4.1500000000000002E-2</v>
      </c>
      <c r="I24" s="580"/>
      <c r="J24" s="400"/>
      <c r="M24" s="400"/>
      <c r="N24" s="394"/>
      <c r="O24" s="394"/>
      <c r="P24" s="397"/>
      <c r="Q24" s="394"/>
      <c r="R24" s="394"/>
      <c r="S24" s="400"/>
      <c r="T24" s="400"/>
      <c r="U24" s="400"/>
      <c r="V24" s="394"/>
      <c r="W24" s="394"/>
      <c r="X24" s="397"/>
      <c r="Y24" s="394"/>
      <c r="Z24" s="394"/>
      <c r="AA24" s="394"/>
      <c r="AB24" s="394"/>
      <c r="AC24" s="394"/>
      <c r="AD24" s="394"/>
      <c r="AE24" s="397"/>
    </row>
    <row r="25" spans="1:33" s="396" customFormat="1" x14ac:dyDescent="0.3">
      <c r="A25" s="410"/>
      <c r="C25" s="402"/>
      <c r="D25" s="402"/>
      <c r="E25" s="402"/>
      <c r="M25" s="400"/>
      <c r="N25" s="394"/>
      <c r="O25" s="394"/>
      <c r="P25" s="397"/>
      <c r="Q25" s="394"/>
      <c r="R25" s="395"/>
      <c r="V25" s="395"/>
      <c r="W25" s="394"/>
      <c r="X25" s="397"/>
      <c r="Y25" s="394"/>
      <c r="AA25" s="939">
        <f>N13/N14*P13   +   R13/R14*T13   +   V13/V14*X13   +   Z13/Z14*AC13</f>
        <v>5.0683007518796994E-2</v>
      </c>
      <c r="AB25" s="940"/>
      <c r="AC25" s="941"/>
      <c r="AD25" s="400"/>
      <c r="AE25" s="400"/>
    </row>
    <row r="26" spans="1:33" s="396" customFormat="1" x14ac:dyDescent="0.3">
      <c r="A26" s="388"/>
      <c r="B26" s="387"/>
      <c r="C26" s="387"/>
      <c r="D26" s="414"/>
      <c r="E26" s="415"/>
      <c r="F26" s="400"/>
      <c r="L26" s="400"/>
      <c r="M26" s="416"/>
      <c r="N26" s="417"/>
      <c r="O26" s="394"/>
      <c r="P26" s="414"/>
      <c r="Q26" s="417"/>
      <c r="R26" s="417"/>
      <c r="S26" s="394"/>
      <c r="T26" s="397"/>
      <c r="U26" s="417"/>
      <c r="V26" s="394"/>
      <c r="W26" s="394"/>
      <c r="X26" s="397"/>
      <c r="Y26" s="417"/>
      <c r="Z26" s="394"/>
      <c r="AA26" s="394"/>
      <c r="AB26" s="394"/>
      <c r="AC26" s="394"/>
      <c r="AD26" s="394"/>
      <c r="AE26" s="397"/>
      <c r="AF26" s="400"/>
      <c r="AG26" s="400"/>
    </row>
    <row r="27" spans="1:33" s="400" customFormat="1" x14ac:dyDescent="0.3">
      <c r="A27" s="410"/>
      <c r="B27" s="387"/>
      <c r="E27" s="406"/>
      <c r="M27" s="418"/>
      <c r="N27" s="419"/>
      <c r="O27" s="394"/>
      <c r="P27" s="420"/>
      <c r="Q27" s="394"/>
      <c r="R27" s="421"/>
      <c r="S27" s="394"/>
      <c r="T27" s="420"/>
      <c r="U27" s="394"/>
      <c r="V27" s="422"/>
      <c r="W27" s="394"/>
      <c r="X27" s="420"/>
      <c r="Y27" s="394"/>
      <c r="Z27" s="417"/>
      <c r="AA27" s="417"/>
      <c r="AB27" s="417"/>
      <c r="AC27" s="417"/>
      <c r="AD27" s="394"/>
      <c r="AE27" s="414"/>
    </row>
    <row r="28" spans="1:33" s="400" customFormat="1" x14ac:dyDescent="0.3">
      <c r="A28" s="410"/>
      <c r="B28" s="399"/>
      <c r="M28" s="423"/>
      <c r="N28" s="424"/>
      <c r="O28" s="425"/>
      <c r="P28" s="426"/>
      <c r="Q28" s="424"/>
      <c r="R28" s="424"/>
      <c r="S28" s="425"/>
      <c r="T28" s="426"/>
      <c r="U28" s="424"/>
      <c r="V28" s="424"/>
      <c r="W28" s="425"/>
      <c r="X28" s="426"/>
      <c r="Y28" s="424"/>
      <c r="Z28" s="417"/>
      <c r="AA28" s="417"/>
      <c r="AB28" s="417"/>
      <c r="AC28" s="417"/>
      <c r="AD28" s="425"/>
      <c r="AE28" s="414"/>
    </row>
    <row r="29" spans="1:33" s="400" customFormat="1" x14ac:dyDescent="0.3">
      <c r="A29" s="388"/>
      <c r="B29" s="387"/>
      <c r="E29" s="399"/>
      <c r="J29" s="589"/>
      <c r="K29" s="427"/>
      <c r="M29" s="423"/>
      <c r="N29" s="424"/>
      <c r="O29" s="425"/>
      <c r="P29" s="426"/>
      <c r="Q29" s="424"/>
      <c r="R29" s="424"/>
      <c r="S29" s="425"/>
      <c r="T29" s="426"/>
      <c r="U29" s="424"/>
      <c r="V29" s="424"/>
      <c r="W29" s="425"/>
      <c r="X29" s="426"/>
      <c r="Y29" s="424"/>
      <c r="Z29" s="424"/>
      <c r="AA29" s="424"/>
      <c r="AB29" s="424"/>
      <c r="AC29" s="424"/>
      <c r="AD29" s="425"/>
      <c r="AE29" s="426"/>
    </row>
    <row r="30" spans="1:33" s="400" customFormat="1" x14ac:dyDescent="0.3">
      <c r="A30" s="388"/>
      <c r="E30" s="406"/>
      <c r="K30" s="427"/>
      <c r="M30" s="423"/>
      <c r="N30" s="424"/>
      <c r="O30" s="425"/>
      <c r="P30" s="426"/>
      <c r="Q30" s="424"/>
      <c r="R30" s="424"/>
      <c r="S30" s="425"/>
      <c r="T30" s="426"/>
      <c r="U30" s="424"/>
      <c r="V30" s="424"/>
      <c r="W30" s="425"/>
      <c r="X30" s="426"/>
      <c r="Y30" s="424"/>
      <c r="Z30" s="424"/>
      <c r="AA30" s="424"/>
      <c r="AB30" s="424"/>
      <c r="AC30" s="424"/>
      <c r="AD30" s="425"/>
      <c r="AE30" s="426"/>
    </row>
    <row r="31" spans="1:33" s="400" customFormat="1" x14ac:dyDescent="0.3">
      <c r="A31" s="395"/>
      <c r="B31" s="396"/>
      <c r="C31" s="428"/>
      <c r="E31" s="406"/>
      <c r="K31" s="429"/>
      <c r="M31" s="423"/>
      <c r="N31" s="424"/>
      <c r="O31" s="425"/>
      <c r="P31" s="426"/>
      <c r="Q31" s="424"/>
      <c r="R31" s="424"/>
      <c r="S31" s="425"/>
      <c r="T31" s="426"/>
      <c r="U31" s="424"/>
      <c r="V31" s="424"/>
      <c r="W31" s="425"/>
      <c r="X31" s="426"/>
      <c r="Y31" s="424"/>
      <c r="Z31" s="424"/>
      <c r="AA31" s="424"/>
      <c r="AB31" s="424"/>
      <c r="AC31" s="424"/>
      <c r="AD31" s="425"/>
      <c r="AE31" s="426"/>
    </row>
    <row r="32" spans="1:33" s="400" customFormat="1" x14ac:dyDescent="0.3">
      <c r="A32" s="394"/>
      <c r="K32" s="429"/>
      <c r="M32" s="423"/>
      <c r="N32" s="424"/>
      <c r="O32" s="425"/>
      <c r="P32" s="426"/>
      <c r="Q32" s="424"/>
      <c r="R32" s="424"/>
      <c r="S32" s="425"/>
      <c r="T32" s="426"/>
      <c r="U32" s="424"/>
      <c r="V32" s="424"/>
      <c r="W32" s="425"/>
      <c r="X32" s="426"/>
      <c r="Y32" s="424"/>
      <c r="Z32" s="424"/>
      <c r="AA32" s="424"/>
      <c r="AB32" s="424"/>
      <c r="AC32" s="424"/>
      <c r="AD32" s="425"/>
      <c r="AE32" s="426"/>
    </row>
    <row r="33" spans="1:33" s="400" customFormat="1" x14ac:dyDescent="0.3">
      <c r="A33" s="394"/>
      <c r="K33" s="429"/>
      <c r="M33" s="423"/>
      <c r="N33" s="424"/>
      <c r="O33" s="425"/>
      <c r="P33" s="426"/>
      <c r="Q33" s="424"/>
      <c r="R33" s="424"/>
      <c r="S33" s="425"/>
      <c r="T33" s="426"/>
      <c r="U33" s="424"/>
      <c r="V33" s="424"/>
      <c r="W33" s="425"/>
      <c r="X33" s="426"/>
      <c r="Y33" s="424"/>
      <c r="Z33" s="424"/>
      <c r="AA33" s="424"/>
      <c r="AB33" s="424"/>
      <c r="AC33" s="424"/>
      <c r="AD33" s="425"/>
      <c r="AE33" s="426"/>
    </row>
    <row r="34" spans="1:33" s="400" customFormat="1" x14ac:dyDescent="0.3">
      <c r="A34" s="394"/>
      <c r="D34" s="406"/>
      <c r="K34" s="429"/>
      <c r="M34" s="423"/>
      <c r="N34" s="424"/>
      <c r="O34" s="425"/>
      <c r="P34" s="426"/>
      <c r="Q34" s="424"/>
      <c r="R34" s="424"/>
      <c r="S34" s="425"/>
      <c r="T34" s="426"/>
      <c r="U34" s="424"/>
      <c r="V34" s="424"/>
      <c r="W34" s="425"/>
      <c r="X34" s="426"/>
      <c r="Y34" s="424"/>
      <c r="Z34" s="424"/>
      <c r="AA34" s="424"/>
      <c r="AB34" s="424"/>
      <c r="AC34" s="424"/>
      <c r="AD34" s="425"/>
      <c r="AE34" s="426"/>
    </row>
    <row r="35" spans="1:33" s="400" customFormat="1" x14ac:dyDescent="0.3">
      <c r="A35" s="394"/>
      <c r="D35" s="406"/>
      <c r="K35" s="429"/>
      <c r="M35" s="423"/>
      <c r="N35" s="424"/>
      <c r="O35" s="425"/>
      <c r="P35" s="426"/>
      <c r="Q35" s="424"/>
      <c r="R35" s="424"/>
      <c r="S35" s="425"/>
      <c r="T35" s="426"/>
      <c r="U35" s="424"/>
      <c r="V35" s="424"/>
      <c r="W35" s="425"/>
      <c r="X35" s="426"/>
      <c r="Y35" s="424"/>
      <c r="Z35" s="424"/>
      <c r="AA35" s="424"/>
      <c r="AB35" s="424"/>
      <c r="AC35" s="424"/>
      <c r="AD35" s="425"/>
      <c r="AE35" s="426"/>
      <c r="AF35" s="416"/>
      <c r="AG35" s="416"/>
    </row>
    <row r="36" spans="1:33" x14ac:dyDescent="0.3">
      <c r="G36" s="400"/>
      <c r="H36" s="400"/>
      <c r="I36" s="400"/>
      <c r="J36" s="400"/>
      <c r="K36" s="429"/>
    </row>
    <row r="37" spans="1:33" x14ac:dyDescent="0.3">
      <c r="G37" s="400"/>
      <c r="H37" s="400"/>
      <c r="I37" s="400"/>
      <c r="J37" s="400"/>
      <c r="K37" s="429"/>
    </row>
    <row r="38" spans="1:33" x14ac:dyDescent="0.3">
      <c r="G38" s="400"/>
      <c r="H38" s="400"/>
      <c r="I38" s="400"/>
      <c r="J38" s="400"/>
      <c r="K38" s="429"/>
    </row>
    <row r="39" spans="1:33" x14ac:dyDescent="0.3">
      <c r="G39" s="400"/>
      <c r="H39" s="400"/>
      <c r="I39" s="400"/>
      <c r="J39" s="400"/>
      <c r="K39" s="429"/>
    </row>
    <row r="40" spans="1:33" x14ac:dyDescent="0.3">
      <c r="G40" s="400"/>
      <c r="H40" s="400"/>
      <c r="I40" s="400"/>
      <c r="J40" s="400"/>
      <c r="K40" s="429"/>
    </row>
    <row r="41" spans="1:33" x14ac:dyDescent="0.3">
      <c r="G41" s="400"/>
      <c r="H41" s="400"/>
      <c r="I41" s="400"/>
      <c r="J41" s="400"/>
      <c r="K41" s="429"/>
    </row>
    <row r="42" spans="1:33" x14ac:dyDescent="0.3">
      <c r="G42" s="400"/>
      <c r="H42" s="400"/>
      <c r="I42" s="400"/>
      <c r="J42" s="400"/>
      <c r="K42" s="429"/>
    </row>
    <row r="43" spans="1:33" x14ac:dyDescent="0.3">
      <c r="G43" s="400"/>
      <c r="H43" s="400"/>
      <c r="I43" s="400"/>
      <c r="J43" s="400"/>
      <c r="K43" s="429"/>
    </row>
    <row r="44" spans="1:33" x14ac:dyDescent="0.3">
      <c r="G44" s="580"/>
      <c r="H44" s="580"/>
      <c r="I44" s="580"/>
      <c r="J44" s="430"/>
      <c r="K44" s="430"/>
    </row>
    <row r="48" spans="1:33" x14ac:dyDescent="0.3">
      <c r="G48" s="416"/>
      <c r="H48" s="416"/>
      <c r="I48" s="416"/>
      <c r="J48" s="416"/>
      <c r="K48" s="416"/>
    </row>
    <row r="49" spans="1:12" x14ac:dyDescent="0.3">
      <c r="A49" s="416"/>
      <c r="B49" s="416"/>
      <c r="F49" s="416"/>
      <c r="L49" s="416"/>
    </row>
    <row r="64" spans="1:12" x14ac:dyDescent="0.3">
      <c r="C64" s="416"/>
      <c r="D64" s="416"/>
      <c r="E64" s="416"/>
    </row>
    <row r="65" spans="3:12" x14ac:dyDescent="0.3">
      <c r="C65" s="416"/>
      <c r="D65" s="416"/>
      <c r="E65" s="416"/>
      <c r="F65" s="387"/>
      <c r="L65" s="387"/>
    </row>
    <row r="66" spans="3:12" x14ac:dyDescent="0.3">
      <c r="C66" s="416"/>
      <c r="D66" s="416"/>
      <c r="E66" s="416"/>
      <c r="F66" s="387"/>
      <c r="L66" s="387"/>
    </row>
    <row r="67" spans="3:12" x14ac:dyDescent="0.3">
      <c r="C67" s="428"/>
      <c r="D67" s="387"/>
      <c r="E67" s="387"/>
      <c r="F67" s="387"/>
      <c r="L67" s="387"/>
    </row>
    <row r="68" spans="3:12" x14ac:dyDescent="0.3">
      <c r="D68" s="400"/>
      <c r="F68" s="387"/>
      <c r="L68" s="387"/>
    </row>
    <row r="69" spans="3:12" x14ac:dyDescent="0.3">
      <c r="D69" s="400"/>
      <c r="F69" s="387"/>
      <c r="L69" s="387"/>
    </row>
    <row r="70" spans="3:12" x14ac:dyDescent="0.3">
      <c r="D70" s="400"/>
      <c r="F70" s="387"/>
      <c r="L70" s="387"/>
    </row>
    <row r="71" spans="3:12" x14ac:dyDescent="0.3">
      <c r="D71" s="400"/>
      <c r="F71" s="387"/>
      <c r="L71" s="387"/>
    </row>
    <row r="72" spans="3:12" x14ac:dyDescent="0.3">
      <c r="D72" s="400"/>
      <c r="F72" s="387"/>
      <c r="L72" s="387"/>
    </row>
    <row r="73" spans="3:12" x14ac:dyDescent="0.3">
      <c r="D73" s="400"/>
      <c r="F73" s="387"/>
      <c r="L73" s="387"/>
    </row>
    <row r="74" spans="3:12" x14ac:dyDescent="0.3">
      <c r="D74" s="400"/>
      <c r="F74" s="387"/>
      <c r="L74" s="387"/>
    </row>
    <row r="75" spans="3:12" x14ac:dyDescent="0.3">
      <c r="D75" s="400"/>
      <c r="F75" s="387"/>
      <c r="L75" s="387"/>
    </row>
    <row r="76" spans="3:12" x14ac:dyDescent="0.3">
      <c r="D76" s="400"/>
      <c r="F76" s="387"/>
      <c r="L76" s="387"/>
    </row>
    <row r="77" spans="3:12" x14ac:dyDescent="0.3">
      <c r="D77" s="400"/>
      <c r="F77" s="387"/>
      <c r="L77" s="387"/>
    </row>
    <row r="78" spans="3:12" x14ac:dyDescent="0.3">
      <c r="D78" s="400"/>
    </row>
    <row r="79" spans="3:12" x14ac:dyDescent="0.3">
      <c r="D79" s="400"/>
    </row>
    <row r="80" spans="3:12" x14ac:dyDescent="0.3">
      <c r="C80" s="396"/>
      <c r="D80" s="396"/>
      <c r="E80" s="396"/>
      <c r="F80" s="396"/>
      <c r="L80" s="396"/>
    </row>
    <row r="81" spans="2:12" x14ac:dyDescent="0.3">
      <c r="C81" s="396"/>
      <c r="D81" s="396"/>
      <c r="E81" s="396"/>
      <c r="F81" s="396"/>
      <c r="L81" s="396"/>
    </row>
    <row r="82" spans="2:12" x14ac:dyDescent="0.3">
      <c r="C82" s="396"/>
      <c r="D82" s="396"/>
      <c r="E82" s="396"/>
      <c r="F82" s="396"/>
      <c r="L82" s="396"/>
    </row>
    <row r="83" spans="2:12" x14ac:dyDescent="0.3">
      <c r="D83" s="400"/>
    </row>
    <row r="84" spans="2:12" x14ac:dyDescent="0.3">
      <c r="D84" s="400"/>
    </row>
    <row r="85" spans="2:12" x14ac:dyDescent="0.3">
      <c r="D85" s="400"/>
    </row>
    <row r="86" spans="2:12" x14ac:dyDescent="0.3">
      <c r="D86" s="400"/>
    </row>
    <row r="87" spans="2:12" x14ac:dyDescent="0.3">
      <c r="C87" s="416"/>
      <c r="D87" s="416"/>
      <c r="E87" s="416"/>
    </row>
    <row r="88" spans="2:12" x14ac:dyDescent="0.3">
      <c r="C88" s="416"/>
      <c r="D88" s="416"/>
      <c r="E88" s="416"/>
      <c r="F88" s="416"/>
      <c r="L88" s="416"/>
    </row>
    <row r="89" spans="2:12" x14ac:dyDescent="0.3">
      <c r="B89" s="416"/>
      <c r="C89" s="416"/>
      <c r="D89" s="416"/>
      <c r="E89" s="416"/>
      <c r="F89" s="387"/>
      <c r="L89" s="387"/>
    </row>
    <row r="90" spans="2:12" x14ac:dyDescent="0.3">
      <c r="C90" s="416"/>
      <c r="D90" s="416"/>
      <c r="E90" s="416"/>
      <c r="F90" s="431"/>
      <c r="L90" s="431"/>
    </row>
    <row r="91" spans="2:12" x14ac:dyDescent="0.3">
      <c r="C91" s="416"/>
      <c r="D91" s="416"/>
      <c r="E91" s="416"/>
      <c r="F91" s="387"/>
      <c r="L91" s="387"/>
    </row>
    <row r="92" spans="2:12" x14ac:dyDescent="0.3">
      <c r="C92" s="416"/>
      <c r="D92" s="416"/>
      <c r="E92" s="416"/>
      <c r="F92" s="399"/>
      <c r="L92" s="399"/>
    </row>
    <row r="93" spans="2:12" x14ac:dyDescent="0.3">
      <c r="C93" s="416"/>
      <c r="D93" s="416"/>
      <c r="E93" s="416"/>
      <c r="F93" s="399"/>
      <c r="L93" s="399"/>
    </row>
    <row r="94" spans="2:12" x14ac:dyDescent="0.3">
      <c r="C94" s="416"/>
      <c r="D94" s="416"/>
      <c r="E94" s="416"/>
      <c r="F94" s="399"/>
      <c r="L94" s="399"/>
    </row>
    <row r="95" spans="2:12" x14ac:dyDescent="0.3">
      <c r="C95" s="416"/>
      <c r="D95" s="416"/>
      <c r="E95" s="416"/>
      <c r="F95" s="431"/>
      <c r="L95" s="431"/>
    </row>
    <row r="96" spans="2:12" x14ac:dyDescent="0.3">
      <c r="C96" s="416"/>
      <c r="D96" s="416"/>
      <c r="E96" s="416"/>
      <c r="F96" s="387"/>
      <c r="L96" s="387"/>
    </row>
    <row r="97" spans="3:12" x14ac:dyDescent="0.3">
      <c r="C97" s="416"/>
      <c r="D97" s="416"/>
      <c r="E97" s="416"/>
      <c r="F97" s="387"/>
      <c r="L97" s="387"/>
    </row>
    <row r="98" spans="3:12" x14ac:dyDescent="0.3">
      <c r="C98" s="416"/>
      <c r="D98" s="416"/>
      <c r="E98" s="416"/>
      <c r="F98" s="387"/>
      <c r="L98" s="387"/>
    </row>
    <row r="99" spans="3:12" x14ac:dyDescent="0.3">
      <c r="C99" s="416"/>
      <c r="D99" s="416"/>
      <c r="E99" s="416"/>
    </row>
    <row r="100" spans="3:12" x14ac:dyDescent="0.3">
      <c r="C100" s="416"/>
      <c r="D100" s="416"/>
      <c r="E100" s="416"/>
    </row>
    <row r="101" spans="3:12" x14ac:dyDescent="0.3">
      <c r="C101" s="416"/>
      <c r="D101" s="416"/>
      <c r="E101" s="416"/>
    </row>
    <row r="102" spans="3:12" x14ac:dyDescent="0.3">
      <c r="C102" s="416"/>
      <c r="D102" s="416"/>
      <c r="E102" s="416"/>
    </row>
    <row r="104" spans="3:12" x14ac:dyDescent="0.3">
      <c r="C104" s="396"/>
      <c r="D104" s="396"/>
      <c r="E104" s="396"/>
    </row>
  </sheetData>
  <sheetProtection algorithmName="SHA-512" hashValue="M04m8gacHAR+WqLUqSVw73eyRtp1UWZ+fSIo0hVMLmAjbB+MRwQjfjLyX4hJ13zAZlDVHapcQa6uBN17mut8+Q==" saltValue="rH0uxAgkGH8QyJnnNHRgXQ==" spinCount="100000" sheet="1" objects="1" scenarios="1" selectLockedCells="1" selectUnlockedCells="1"/>
  <mergeCells count="13">
    <mergeCell ref="W3:AE3"/>
    <mergeCell ref="AA25:AC25"/>
    <mergeCell ref="AB13:AB14"/>
    <mergeCell ref="M13:M14"/>
    <mergeCell ref="Z13:AA13"/>
    <mergeCell ref="Z14:AA14"/>
    <mergeCell ref="AC13:AD14"/>
    <mergeCell ref="P13:P14"/>
    <mergeCell ref="T13:T14"/>
    <mergeCell ref="X13:X14"/>
    <mergeCell ref="O13:O14"/>
    <mergeCell ref="S13:S14"/>
    <mergeCell ref="W13:W14"/>
  </mergeCells>
  <printOptions horizontalCentered="1"/>
  <pageMargins left="0.5" right="0.5" top="0.75" bottom="0.5" header="0.5" footer="0.5"/>
  <pageSetup orientation="landscape" horizontalDpi="1200" verticalDpi="1200" r:id="rId1"/>
  <headerFooter scaleWithDoc="0" alignWithMargins="0">
    <oddFooter>&amp;L&amp;10Weighted Average Cost of Capital&amp;R&amp;10Page &amp;P of &amp;N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2F53-2EEE-473D-A415-9E4F5EFB16D3}">
  <sheetPr codeName="Sheet10">
    <tabColor rgb="FFEBF1DE"/>
    <pageSetUpPr fitToPage="1"/>
  </sheetPr>
  <dimension ref="A1:AX32"/>
  <sheetViews>
    <sheetView showGridLines="0" showRowColHeaders="0" zoomScaleNormal="100" zoomScaleSheetLayoutView="85" workbookViewId="0"/>
  </sheetViews>
  <sheetFormatPr defaultColWidth="10.5546875" defaultRowHeight="14.4" x14ac:dyDescent="0.3"/>
  <cols>
    <col min="1" max="1" width="3.109375" style="81" customWidth="1"/>
    <col min="2" max="2" width="5.5546875" style="439" customWidth="1"/>
    <col min="3" max="3" width="1.88671875" style="439" customWidth="1"/>
    <col min="4" max="4" width="8.88671875" style="439" customWidth="1"/>
    <col min="5" max="5" width="5" style="439" customWidth="1"/>
    <col min="6" max="6" width="3" style="439" customWidth="1"/>
    <col min="7" max="7" width="2.21875" style="451" customWidth="1"/>
    <col min="8" max="8" width="4.5546875" style="439" customWidth="1"/>
    <col min="9" max="9" width="3.21875" style="49" customWidth="1"/>
    <col min="10" max="11" width="3.88671875" style="49" customWidth="1"/>
    <col min="12" max="12" width="1.5546875" style="49" customWidth="1"/>
    <col min="13" max="13" width="4.6640625" style="49" customWidth="1"/>
    <col min="14" max="14" width="5.44140625" style="49" bestFit="1" customWidth="1"/>
    <col min="15" max="15" width="2" style="49" customWidth="1"/>
    <col min="16" max="16" width="8.109375" style="447" bestFit="1" customWidth="1"/>
    <col min="17" max="17" width="6.21875" style="49" customWidth="1"/>
    <col min="18" max="19" width="6.44140625" style="49" customWidth="1"/>
    <col min="20" max="20" width="2.88671875" style="447" customWidth="1"/>
    <col min="21" max="21" width="9.109375" style="439" customWidth="1"/>
    <col min="22" max="22" width="8.44140625" style="489" customWidth="1"/>
    <col min="23" max="23" width="9.44140625" style="439" customWidth="1"/>
    <col min="24" max="24" width="1.6640625" style="439" customWidth="1"/>
    <col min="25" max="25" width="13.5546875" style="439" bestFit="1" customWidth="1"/>
    <col min="26" max="26" width="1.33203125" style="439" customWidth="1"/>
    <col min="27" max="27" width="7.109375" style="489" customWidth="1"/>
    <col min="28" max="28" width="6.21875" style="489" bestFit="1" customWidth="1"/>
    <col min="29" max="29" width="1.33203125" style="489" customWidth="1"/>
    <col min="30" max="30" width="1.109375" style="489" customWidth="1"/>
    <col min="31" max="31" width="6.44140625" style="489" customWidth="1"/>
    <col min="32" max="32" width="7.21875" style="489" bestFit="1" customWidth="1"/>
    <col min="33" max="33" width="10.21875" style="439" customWidth="1"/>
    <col min="34" max="38" width="9.21875" style="439" customWidth="1"/>
    <col min="39" max="39" width="12.77734375" style="439" customWidth="1"/>
    <col min="40" max="40" width="3.109375" style="439" customWidth="1"/>
    <col min="41" max="41" width="7.77734375" style="439" customWidth="1"/>
    <col min="42" max="42" width="2.88671875" style="439" customWidth="1"/>
    <col min="43" max="43" width="10.5546875" style="439"/>
    <col min="44" max="44" width="2.88671875" style="439" customWidth="1"/>
    <col min="45" max="45" width="10.5546875" style="439"/>
    <col min="46" max="46" width="1.109375" style="439" customWidth="1"/>
    <col min="47" max="47" width="18.6640625" style="439" customWidth="1"/>
    <col min="48" max="16384" width="10.5546875" style="439"/>
  </cols>
  <sheetData>
    <row r="1" spans="1:42" s="67" customFormat="1" ht="8.4" customHeight="1" x14ac:dyDescent="0.2">
      <c r="A1" s="885" t="s">
        <v>59</v>
      </c>
      <c r="E1" s="68"/>
      <c r="H1" s="167"/>
      <c r="W1" s="69"/>
    </row>
    <row r="2" spans="1:42" s="168" customFormat="1" ht="23.4" x14ac:dyDescent="0.45">
      <c r="A2" s="70"/>
      <c r="C2" s="74" t="s">
        <v>119</v>
      </c>
      <c r="D2" s="74"/>
      <c r="E2" s="74"/>
      <c r="F2" s="71"/>
      <c r="G2" s="71"/>
      <c r="H2" s="71"/>
      <c r="I2" s="72"/>
      <c r="J2" s="72"/>
      <c r="K2" s="73"/>
      <c r="L2" s="73"/>
      <c r="M2" s="73"/>
      <c r="N2" s="73"/>
      <c r="O2" s="368"/>
      <c r="P2" s="432"/>
      <c r="Q2" s="368"/>
      <c r="R2" s="368"/>
      <c r="S2" s="368"/>
      <c r="T2" s="71"/>
      <c r="V2" s="169"/>
      <c r="AA2" s="169"/>
      <c r="AB2" s="169"/>
      <c r="AC2" s="169"/>
      <c r="AD2" s="169"/>
      <c r="AE2" s="169"/>
      <c r="AF2" s="169"/>
    </row>
    <row r="3" spans="1:42" s="77" customFormat="1" ht="18" x14ac:dyDescent="0.35">
      <c r="A3" s="75"/>
      <c r="C3" s="433" t="s">
        <v>85</v>
      </c>
      <c r="D3" s="433"/>
      <c r="E3" s="433"/>
      <c r="F3" s="433"/>
      <c r="G3" s="433"/>
      <c r="H3" s="433"/>
      <c r="I3" s="370"/>
      <c r="J3" s="370"/>
      <c r="K3" s="370"/>
      <c r="L3" s="78"/>
      <c r="M3" s="78"/>
      <c r="N3" s="78"/>
      <c r="O3" s="78"/>
      <c r="Q3" s="78"/>
      <c r="R3" s="78"/>
      <c r="S3" s="78"/>
      <c r="V3" s="434"/>
      <c r="AA3" s="434"/>
      <c r="AB3" s="434"/>
      <c r="AC3" s="434"/>
      <c r="AD3" s="434"/>
      <c r="AE3" s="898"/>
      <c r="AF3" s="898"/>
      <c r="AG3" s="898"/>
    </row>
    <row r="4" spans="1:42" s="85" customFormat="1" x14ac:dyDescent="0.3">
      <c r="A4" s="81"/>
      <c r="C4" s="82"/>
      <c r="D4" s="82"/>
      <c r="E4" s="82"/>
      <c r="F4" s="82"/>
      <c r="G4" s="82"/>
      <c r="H4" s="82"/>
      <c r="I4" s="83"/>
      <c r="J4" s="83"/>
      <c r="K4" s="83"/>
      <c r="L4" s="83"/>
      <c r="M4" s="83"/>
      <c r="O4" s="83"/>
      <c r="P4" s="181"/>
      <c r="Q4" s="83"/>
      <c r="R4" s="371"/>
      <c r="S4" s="81"/>
      <c r="V4" s="88"/>
      <c r="AE4" s="88"/>
      <c r="AF4" s="88"/>
    </row>
    <row r="5" spans="1:42" s="185" customFormat="1" ht="15.6" x14ac:dyDescent="0.3">
      <c r="A5" s="184"/>
      <c r="C5" s="185" t="s">
        <v>240</v>
      </c>
      <c r="I5" s="228"/>
      <c r="J5" s="228"/>
      <c r="K5" s="228"/>
      <c r="L5" s="228"/>
      <c r="M5" s="228"/>
      <c r="N5" s="228"/>
      <c r="O5" s="86"/>
      <c r="P5" s="86"/>
      <c r="Q5" s="228"/>
      <c r="R5" s="228"/>
      <c r="S5" s="228"/>
      <c r="T5" s="435"/>
      <c r="V5" s="189"/>
      <c r="AA5" s="189"/>
      <c r="AB5" s="189"/>
      <c r="AC5" s="189"/>
      <c r="AD5" s="189"/>
      <c r="AE5" s="189"/>
      <c r="AF5" s="189"/>
    </row>
    <row r="6" spans="1:42" s="85" customFormat="1" ht="9.6" customHeight="1" x14ac:dyDescent="0.3">
      <c r="A6" s="81"/>
      <c r="K6" s="89"/>
      <c r="L6" s="90"/>
      <c r="M6" s="91"/>
      <c r="N6" s="90"/>
      <c r="R6" s="81"/>
      <c r="S6" s="81"/>
      <c r="T6" s="90"/>
      <c r="V6" s="88"/>
      <c r="W6" s="88"/>
      <c r="X6" s="88"/>
      <c r="Y6" s="230"/>
      <c r="AE6" s="88"/>
      <c r="AF6" s="88"/>
    </row>
    <row r="7" spans="1:42" s="111" customFormat="1" ht="13.8" x14ac:dyDescent="0.3">
      <c r="A7" s="109"/>
      <c r="C7" s="195" t="s">
        <v>322</v>
      </c>
      <c r="D7" s="195"/>
      <c r="E7" s="195"/>
      <c r="F7" s="195"/>
      <c r="G7" s="107"/>
      <c r="H7" s="195"/>
      <c r="I7" s="222"/>
      <c r="J7" s="222"/>
      <c r="K7" s="222"/>
      <c r="L7" s="222"/>
      <c r="M7" s="222"/>
      <c r="N7" s="222"/>
      <c r="O7" s="145"/>
      <c r="P7" s="145"/>
      <c r="Q7" s="222"/>
      <c r="R7" s="222"/>
      <c r="S7" s="222"/>
      <c r="T7" s="163"/>
      <c r="V7" s="142"/>
      <c r="X7" s="436" t="s">
        <v>323</v>
      </c>
      <c r="Z7" s="436"/>
      <c r="AA7" s="142"/>
      <c r="AB7" s="142"/>
      <c r="AC7" s="142"/>
      <c r="AD7" s="142"/>
      <c r="AE7" s="142"/>
      <c r="AF7" s="142"/>
    </row>
    <row r="8" spans="1:42" s="85" customFormat="1" x14ac:dyDescent="0.3">
      <c r="A8" s="81"/>
      <c r="C8" s="437" t="s">
        <v>181</v>
      </c>
      <c r="D8" s="437"/>
      <c r="E8" s="437"/>
      <c r="F8" s="437"/>
      <c r="G8" s="437"/>
      <c r="H8" s="437"/>
      <c r="I8" s="371"/>
      <c r="J8" s="371"/>
      <c r="K8" s="371"/>
      <c r="L8" s="371"/>
      <c r="M8" s="371"/>
      <c r="N8" s="371"/>
      <c r="O8" s="83"/>
      <c r="P8" s="83"/>
      <c r="Q8" s="371"/>
      <c r="R8" s="371"/>
      <c r="S8" s="371"/>
      <c r="T8" s="438"/>
      <c r="V8" s="88"/>
      <c r="X8" s="437" t="s">
        <v>247</v>
      </c>
      <c r="Z8" s="439"/>
      <c r="AA8" s="88"/>
      <c r="AB8" s="88"/>
      <c r="AC8" s="88"/>
      <c r="AD8" s="88"/>
      <c r="AE8" s="88"/>
      <c r="AF8" s="88"/>
    </row>
    <row r="9" spans="1:42" s="85" customFormat="1" x14ac:dyDescent="0.3">
      <c r="A9" s="81"/>
      <c r="C9" s="440" t="s">
        <v>182</v>
      </c>
      <c r="D9" s="440"/>
      <c r="E9" s="440"/>
      <c r="F9" s="440"/>
      <c r="G9" s="440"/>
      <c r="H9" s="440"/>
      <c r="I9" s="441"/>
      <c r="J9" s="441"/>
      <c r="K9" s="441"/>
      <c r="L9" s="371"/>
      <c r="M9" s="371"/>
      <c r="N9" s="371"/>
      <c r="O9" s="83"/>
      <c r="P9" s="83"/>
      <c r="Q9" s="371"/>
      <c r="R9" s="371"/>
      <c r="S9" s="371"/>
      <c r="T9" s="438"/>
      <c r="V9" s="88"/>
      <c r="X9" s="437" t="s">
        <v>222</v>
      </c>
      <c r="Z9" s="442"/>
      <c r="AA9" s="88"/>
      <c r="AB9" s="88"/>
      <c r="AC9" s="88"/>
      <c r="AD9" s="88"/>
      <c r="AE9" s="88"/>
      <c r="AF9" s="88"/>
    </row>
    <row r="10" spans="1:42" s="183" customFormat="1" x14ac:dyDescent="0.3">
      <c r="A10" s="443"/>
      <c r="C10" s="440" t="s">
        <v>232</v>
      </c>
      <c r="D10" s="440"/>
      <c r="E10" s="440"/>
      <c r="F10" s="440"/>
      <c r="G10" s="440"/>
      <c r="H10" s="440"/>
      <c r="I10" s="444"/>
      <c r="J10" s="444"/>
      <c r="K10" s="444"/>
      <c r="L10" s="445"/>
      <c r="M10" s="445"/>
      <c r="N10" s="445"/>
      <c r="O10" s="146"/>
      <c r="P10" s="146"/>
      <c r="Q10" s="445"/>
      <c r="R10" s="445"/>
      <c r="S10" s="445"/>
      <c r="T10" s="152"/>
      <c r="V10" s="446"/>
      <c r="X10" s="437" t="s">
        <v>246</v>
      </c>
      <c r="Z10" s="442"/>
      <c r="AA10" s="446"/>
      <c r="AB10" s="446"/>
      <c r="AC10" s="446"/>
      <c r="AD10" s="446"/>
      <c r="AE10" s="446"/>
      <c r="AF10" s="446"/>
    </row>
    <row r="11" spans="1:42" s="85" customFormat="1" x14ac:dyDescent="0.3">
      <c r="A11" s="81"/>
      <c r="K11" s="89"/>
      <c r="L11" s="90"/>
      <c r="M11" s="91"/>
      <c r="N11" s="90"/>
      <c r="R11" s="81"/>
      <c r="S11" s="81"/>
      <c r="T11" s="90"/>
      <c r="V11" s="88"/>
      <c r="W11" s="88"/>
      <c r="X11" s="88"/>
      <c r="Y11" s="230"/>
      <c r="AE11" s="88"/>
      <c r="AF11" s="88"/>
    </row>
    <row r="12" spans="1:42" x14ac:dyDescent="0.3">
      <c r="D12" s="953" t="s">
        <v>318</v>
      </c>
      <c r="E12" s="953"/>
      <c r="F12" s="953"/>
      <c r="G12" s="953"/>
      <c r="H12" s="953"/>
      <c r="I12" s="953"/>
      <c r="J12" s="953"/>
      <c r="K12" s="953"/>
      <c r="L12" s="953"/>
      <c r="M12" s="953"/>
      <c r="N12" s="953"/>
      <c r="O12" s="953"/>
      <c r="P12" s="953"/>
      <c r="Q12" s="953"/>
      <c r="R12" s="953"/>
      <c r="S12" s="953"/>
      <c r="U12" s="952" t="s">
        <v>319</v>
      </c>
      <c r="V12" s="952"/>
      <c r="W12" s="89"/>
      <c r="X12" s="89"/>
      <c r="Y12" s="448"/>
      <c r="Z12" s="448"/>
      <c r="AA12" s="449" t="s">
        <v>121</v>
      </c>
      <c r="AB12" s="449"/>
      <c r="AC12" s="449"/>
      <c r="AD12" s="450"/>
      <c r="AE12" s="956" t="s">
        <v>150</v>
      </c>
      <c r="AF12" s="956"/>
      <c r="AG12" s="89"/>
      <c r="AH12" s="89"/>
      <c r="AJ12" s="89"/>
      <c r="AK12" s="89"/>
      <c r="AL12" s="89"/>
      <c r="AN12" s="89"/>
      <c r="AO12" s="89"/>
      <c r="AP12" s="89"/>
    </row>
    <row r="13" spans="1:42" ht="6.6" customHeight="1" x14ac:dyDescent="0.3">
      <c r="O13" s="439"/>
      <c r="P13" s="439"/>
      <c r="Q13" s="452"/>
      <c r="R13" s="452"/>
      <c r="S13" s="452"/>
      <c r="U13" s="453"/>
      <c r="V13" s="88"/>
      <c r="W13" s="89"/>
      <c r="X13" s="89"/>
      <c r="Y13" s="448"/>
      <c r="Z13" s="448"/>
      <c r="AA13" s="454"/>
      <c r="AB13" s="454"/>
      <c r="AC13" s="454"/>
      <c r="AD13" s="454"/>
      <c r="AE13" s="454"/>
      <c r="AF13" s="454"/>
      <c r="AG13" s="89"/>
      <c r="AH13" s="89"/>
      <c r="AJ13" s="89"/>
      <c r="AK13" s="89"/>
      <c r="AL13" s="89"/>
      <c r="AN13" s="89"/>
      <c r="AO13" s="89"/>
      <c r="AP13" s="89"/>
    </row>
    <row r="14" spans="1:42" s="475" customFormat="1" ht="13.8" x14ac:dyDescent="0.3">
      <c r="A14" s="455"/>
      <c r="B14" s="456"/>
      <c r="C14" s="457"/>
      <c r="D14" s="458" t="s">
        <v>11</v>
      </c>
      <c r="E14" s="459"/>
      <c r="F14" s="460"/>
      <c r="G14" s="458" t="s">
        <v>149</v>
      </c>
      <c r="H14" s="461"/>
      <c r="I14" s="462"/>
      <c r="J14" s="462"/>
      <c r="K14" s="462"/>
      <c r="L14" s="461"/>
      <c r="M14" s="463" t="s">
        <v>159</v>
      </c>
      <c r="N14" s="464" t="s">
        <v>21</v>
      </c>
      <c r="O14" s="465"/>
      <c r="P14" s="466" t="s">
        <v>68</v>
      </c>
      <c r="Q14" s="467" t="s">
        <v>148</v>
      </c>
      <c r="R14" s="468" t="s">
        <v>321</v>
      </c>
      <c r="S14" s="468" t="s">
        <v>320</v>
      </c>
      <c r="T14" s="469"/>
      <c r="U14" s="470"/>
      <c r="V14" s="471"/>
      <c r="W14" s="472"/>
      <c r="X14" s="472"/>
      <c r="Y14" s="459"/>
      <c r="Z14" s="459"/>
      <c r="AA14" s="465" t="s">
        <v>117</v>
      </c>
      <c r="AB14" s="473" t="s">
        <v>116</v>
      </c>
      <c r="AC14" s="473"/>
      <c r="AD14" s="473"/>
      <c r="AE14" s="465" t="s">
        <v>130</v>
      </c>
      <c r="AF14" s="459" t="s">
        <v>245</v>
      </c>
      <c r="AG14" s="457"/>
      <c r="AH14" s="474"/>
      <c r="AJ14" s="476"/>
      <c r="AK14" s="476"/>
      <c r="AL14" s="476"/>
      <c r="AN14" s="476"/>
      <c r="AO14" s="476"/>
      <c r="AP14" s="476"/>
    </row>
    <row r="15" spans="1:42" s="478" customFormat="1" x14ac:dyDescent="0.3">
      <c r="A15" s="477"/>
      <c r="B15" s="439"/>
      <c r="D15" s="590" t="s">
        <v>123</v>
      </c>
      <c r="E15" s="783">
        <f>WACC!AA25</f>
        <v>5.0683007518796994E-2</v>
      </c>
      <c r="G15" s="57" t="s">
        <v>99</v>
      </c>
      <c r="H15" s="492"/>
      <c r="I15" s="493"/>
      <c r="J15" s="493"/>
      <c r="K15" s="493"/>
      <c r="L15" s="493"/>
      <c r="M15" s="784">
        <v>1</v>
      </c>
      <c r="N15" s="785">
        <v>147.38399999999999</v>
      </c>
      <c r="O15" s="591">
        <f t="shared" ref="O15:O21" si="0">N15</f>
        <v>147.38399999999999</v>
      </c>
      <c r="P15" s="592" t="str">
        <f t="shared" ref="P15:P24" si="1">TEXT($E$15,"0.0%;[red]-0.0%")&amp;" ^"&amp;M15</f>
        <v>5.1% ^1</v>
      </c>
      <c r="Q15" s="785">
        <f t="shared" ref="Q15:Q23" si="2">N15/(1+$E$15)^M15</f>
        <v>140.27446807962511</v>
      </c>
      <c r="R15" s="786">
        <f>SUM(Q15:Q24)</f>
        <v>6203.7507022929658</v>
      </c>
      <c r="S15" s="787">
        <f>NPV(E15,O15:O24)</f>
        <v>6203.7507022929667</v>
      </c>
      <c r="T15" s="48"/>
      <c r="U15" s="479" t="s">
        <v>263</v>
      </c>
      <c r="V15" s="788">
        <f>R15</f>
        <v>6203.7507022929658</v>
      </c>
      <c r="W15" s="311"/>
      <c r="X15" s="311"/>
      <c r="Y15" s="593" t="s">
        <v>87</v>
      </c>
      <c r="Z15" s="594"/>
      <c r="AA15" s="789"/>
      <c r="AB15" s="790"/>
      <c r="AC15" s="791"/>
      <c r="AD15" s="792"/>
      <c r="AE15" s="789"/>
      <c r="AF15" s="793"/>
      <c r="AG15" s="439"/>
      <c r="AH15" s="311"/>
      <c r="AI15" s="439"/>
    </row>
    <row r="16" spans="1:42" x14ac:dyDescent="0.3">
      <c r="D16" s="590" t="s">
        <v>124</v>
      </c>
      <c r="E16" s="794">
        <v>0.01</v>
      </c>
      <c r="G16" s="58"/>
      <c r="H16" s="959" t="s">
        <v>189</v>
      </c>
      <c r="I16" s="959"/>
      <c r="J16" s="959"/>
      <c r="K16" s="959"/>
      <c r="L16" s="35"/>
      <c r="M16" s="795">
        <v>2</v>
      </c>
      <c r="N16" s="796">
        <f>((($N$15*0.6)*1.2)*1.2)*1.15</f>
        <v>146.44074239999995</v>
      </c>
      <c r="O16" s="595">
        <f t="shared" si="0"/>
        <v>146.44074239999995</v>
      </c>
      <c r="P16" s="596" t="str">
        <f t="shared" si="1"/>
        <v>5.1% ^2</v>
      </c>
      <c r="Q16" s="796">
        <f t="shared" si="2"/>
        <v>132.65343637093321</v>
      </c>
      <c r="R16" s="797"/>
      <c r="S16" s="798"/>
      <c r="U16" s="412" t="s">
        <v>261</v>
      </c>
      <c r="V16" s="799">
        <f>-SUM(Financials!J18,Financials!J20)</f>
        <v>-2650</v>
      </c>
      <c r="Y16" s="597" t="s">
        <v>152</v>
      </c>
      <c r="Z16" s="33"/>
      <c r="AA16" s="800">
        <v>4790</v>
      </c>
      <c r="AB16" s="800">
        <v>1188</v>
      </c>
      <c r="AC16" s="801"/>
      <c r="AD16" s="802"/>
      <c r="AE16" s="800">
        <v>3330</v>
      </c>
      <c r="AF16" s="803">
        <v>490</v>
      </c>
      <c r="AJ16" s="311"/>
      <c r="AK16" s="311"/>
      <c r="AL16" s="311"/>
      <c r="AN16" s="311"/>
      <c r="AO16" s="311"/>
      <c r="AP16" s="311"/>
    </row>
    <row r="17" spans="1:50" x14ac:dyDescent="0.3">
      <c r="D17" s="480"/>
      <c r="E17" s="480"/>
      <c r="F17" s="480"/>
      <c r="G17" s="52"/>
      <c r="H17" s="960" t="s">
        <v>190</v>
      </c>
      <c r="I17" s="960"/>
      <c r="J17" s="960"/>
      <c r="K17" s="960"/>
      <c r="L17" s="35"/>
      <c r="M17" s="795">
        <v>3</v>
      </c>
      <c r="N17" s="796">
        <v>97.703999999999979</v>
      </c>
      <c r="O17" s="595">
        <f t="shared" si="0"/>
        <v>97.703999999999979</v>
      </c>
      <c r="P17" s="596" t="str">
        <f t="shared" si="1"/>
        <v>5.1% ^3</v>
      </c>
      <c r="Q17" s="796">
        <f t="shared" si="2"/>
        <v>84.235899625034804</v>
      </c>
      <c r="R17" s="797"/>
      <c r="S17" s="798"/>
      <c r="U17" s="481" t="s">
        <v>293</v>
      </c>
      <c r="V17" s="804">
        <f>Financials!J8</f>
        <v>3240.6434285714286</v>
      </c>
      <c r="W17" s="48"/>
      <c r="X17" s="48"/>
      <c r="Y17" s="597" t="s">
        <v>153</v>
      </c>
      <c r="Z17" s="36"/>
      <c r="AA17" s="800">
        <v>8020</v>
      </c>
      <c r="AB17" s="800">
        <v>1394</v>
      </c>
      <c r="AC17" s="801"/>
      <c r="AD17" s="802"/>
      <c r="AE17" s="800">
        <v>7040</v>
      </c>
      <c r="AF17" s="803">
        <v>646.4</v>
      </c>
      <c r="AN17" s="48"/>
      <c r="AO17" s="48"/>
      <c r="AP17" s="48"/>
    </row>
    <row r="18" spans="1:50" s="48" customFormat="1" x14ac:dyDescent="0.3">
      <c r="A18" s="81"/>
      <c r="B18" s="439"/>
      <c r="E18" s="482"/>
      <c r="F18" s="482"/>
      <c r="G18" s="53"/>
      <c r="H18" s="36"/>
      <c r="I18" s="36"/>
      <c r="J18" s="36"/>
      <c r="K18" s="36"/>
      <c r="L18" s="35"/>
      <c r="M18" s="795">
        <v>4</v>
      </c>
      <c r="N18" s="796">
        <v>182.16</v>
      </c>
      <c r="O18" s="595">
        <f t="shared" si="0"/>
        <v>182.16</v>
      </c>
      <c r="P18" s="596" t="str">
        <f t="shared" si="1"/>
        <v>5.1% ^4</v>
      </c>
      <c r="Q18" s="796">
        <f t="shared" si="2"/>
        <v>149.47418129720742</v>
      </c>
      <c r="R18" s="797"/>
      <c r="S18" s="798"/>
      <c r="U18" s="483" t="s">
        <v>262</v>
      </c>
      <c r="V18" s="805">
        <f>SUM(V7:V17)</f>
        <v>6794.3941308643944</v>
      </c>
      <c r="Y18" s="598" t="s">
        <v>154</v>
      </c>
      <c r="Z18" s="36"/>
      <c r="AA18" s="800">
        <v>7900</v>
      </c>
      <c r="AB18" s="800">
        <v>1658</v>
      </c>
      <c r="AC18" s="801"/>
      <c r="AD18" s="802"/>
      <c r="AE18" s="800">
        <v>5130</v>
      </c>
      <c r="AF18" s="806">
        <v>570</v>
      </c>
      <c r="AG18" s="89"/>
    </row>
    <row r="19" spans="1:50" s="48" customFormat="1" x14ac:dyDescent="0.3">
      <c r="A19" s="81"/>
      <c r="E19" s="482"/>
      <c r="F19" s="482"/>
      <c r="G19" s="54" t="s">
        <v>68</v>
      </c>
      <c r="H19" s="36"/>
      <c r="I19" s="36"/>
      <c r="J19" s="36"/>
      <c r="K19" s="36"/>
      <c r="L19" s="35"/>
      <c r="M19" s="795">
        <v>5</v>
      </c>
      <c r="N19" s="807">
        <v>86.111999999999995</v>
      </c>
      <c r="O19" s="595">
        <f t="shared" si="0"/>
        <v>86.111999999999995</v>
      </c>
      <c r="P19" s="596" t="str">
        <f t="shared" si="1"/>
        <v>5.1% ^5</v>
      </c>
      <c r="Q19" s="796">
        <f t="shared" si="2"/>
        <v>67.251989003454639</v>
      </c>
      <c r="R19" s="797"/>
      <c r="S19" s="798"/>
      <c r="V19" s="484"/>
      <c r="Y19" s="597" t="s">
        <v>118</v>
      </c>
      <c r="Z19" s="36"/>
      <c r="AA19" s="800">
        <f>SUM(AA16:AA18)</f>
        <v>20710</v>
      </c>
      <c r="AB19" s="808">
        <f>SUM(AB16:AB18)</f>
        <v>4240</v>
      </c>
      <c r="AC19" s="809"/>
      <c r="AD19" s="810"/>
      <c r="AE19" s="800">
        <f>SUM(AE16:AE18)</f>
        <v>15500</v>
      </c>
      <c r="AF19" s="806">
        <f>SUM(AF16:AF18)</f>
        <v>1706.4</v>
      </c>
      <c r="AG19" s="311"/>
    </row>
    <row r="20" spans="1:50" s="48" customFormat="1" x14ac:dyDescent="0.3">
      <c r="A20" s="81"/>
      <c r="E20" s="480"/>
      <c r="F20" s="480"/>
      <c r="G20" s="52"/>
      <c r="H20" s="964" t="str">
        <f>TEXT(N24,"0")&amp;" *"&amp;" (1 + "&amp;TEXT($E$16,"0%")&amp;")"</f>
        <v>317 * (1 + 1%)</v>
      </c>
      <c r="I20" s="964"/>
      <c r="J20" s="964"/>
      <c r="K20" s="36"/>
      <c r="L20" s="35"/>
      <c r="M20" s="795">
        <v>6</v>
      </c>
      <c r="N20" s="807">
        <v>71.207999999999998</v>
      </c>
      <c r="O20" s="595">
        <f t="shared" si="0"/>
        <v>71.207999999999998</v>
      </c>
      <c r="P20" s="596" t="str">
        <f t="shared" si="1"/>
        <v>5.1% ^6</v>
      </c>
      <c r="Q20" s="796">
        <f t="shared" si="2"/>
        <v>52.929590826126237</v>
      </c>
      <c r="R20" s="797"/>
      <c r="S20" s="798"/>
      <c r="V20" s="484"/>
      <c r="Y20" s="954" t="s">
        <v>131</v>
      </c>
      <c r="Z20" s="955"/>
      <c r="AA20" s="811"/>
      <c r="AB20" s="958">
        <f>AA19/AB19</f>
        <v>4.8844339622641506</v>
      </c>
      <c r="AC20" s="812"/>
      <c r="AD20" s="813"/>
      <c r="AE20" s="811"/>
      <c r="AF20" s="957">
        <f>AE19/AF19</f>
        <v>9.0834505391467406</v>
      </c>
      <c r="AG20" s="439"/>
    </row>
    <row r="21" spans="1:50" s="48" customFormat="1" x14ac:dyDescent="0.3">
      <c r="A21" s="81"/>
      <c r="B21" s="485"/>
      <c r="E21" s="482"/>
      <c r="F21" s="482"/>
      <c r="G21" s="53"/>
      <c r="H21" s="965" t="str">
        <f>TEXT($E$15,"0.0%")&amp;" "&amp;TEXT(-$E$16," 0%")</f>
        <v>5.1% - 1%</v>
      </c>
      <c r="I21" s="965"/>
      <c r="J21" s="965"/>
      <c r="K21" s="36"/>
      <c r="L21" s="599"/>
      <c r="M21" s="795">
        <v>7</v>
      </c>
      <c r="N21" s="796">
        <f>((($N$15*1.5)*1.2)*1.2)*1.15</f>
        <v>366.10185599999988</v>
      </c>
      <c r="O21" s="595">
        <f t="shared" si="0"/>
        <v>366.10185599999988</v>
      </c>
      <c r="P21" s="596" t="str">
        <f t="shared" si="1"/>
        <v>5.1% ^7</v>
      </c>
      <c r="Q21" s="796">
        <f t="shared" si="2"/>
        <v>259.00012321419979</v>
      </c>
      <c r="R21" s="797"/>
      <c r="S21" s="798"/>
      <c r="V21" s="484"/>
      <c r="Y21" s="954"/>
      <c r="Z21" s="955"/>
      <c r="AA21" s="36"/>
      <c r="AB21" s="958"/>
      <c r="AC21" s="812"/>
      <c r="AD21" s="813"/>
      <c r="AE21" s="814"/>
      <c r="AF21" s="957"/>
      <c r="AG21" s="486"/>
      <c r="AJ21" s="487"/>
    </row>
    <row r="22" spans="1:50" s="48" customFormat="1" x14ac:dyDescent="0.3">
      <c r="A22" s="81"/>
      <c r="B22" s="439"/>
      <c r="E22" s="482"/>
      <c r="F22" s="482"/>
      <c r="G22" s="55"/>
      <c r="H22" s="36"/>
      <c r="I22" s="36"/>
      <c r="J22" s="36"/>
      <c r="K22" s="36"/>
      <c r="L22" s="599"/>
      <c r="M22" s="795">
        <v>8</v>
      </c>
      <c r="N22" s="796">
        <f>((($N$15*0.9)*1.2)*1.2)*1.15</f>
        <v>219.66111359999999</v>
      </c>
      <c r="O22" s="595">
        <f>N22</f>
        <v>219.66111359999999</v>
      </c>
      <c r="P22" s="596" t="str">
        <f t="shared" si="1"/>
        <v>5.1% ^8</v>
      </c>
      <c r="Q22" s="796">
        <f t="shared" si="2"/>
        <v>147.90386140868446</v>
      </c>
      <c r="R22" s="797"/>
      <c r="S22" s="798"/>
      <c r="V22" s="484"/>
      <c r="Y22" s="600" t="s">
        <v>51</v>
      </c>
      <c r="Z22" s="601"/>
      <c r="AA22" s="815"/>
      <c r="AB22" s="816"/>
      <c r="AC22" s="817"/>
      <c r="AD22" s="818"/>
      <c r="AE22" s="815"/>
      <c r="AF22" s="819"/>
      <c r="AG22" s="486"/>
      <c r="AJ22" s="487"/>
    </row>
    <row r="23" spans="1:50" s="48" customFormat="1" x14ac:dyDescent="0.3">
      <c r="A23" s="81"/>
      <c r="B23" s="478"/>
      <c r="E23" s="488"/>
      <c r="F23" s="488"/>
      <c r="G23" s="54" t="s">
        <v>9</v>
      </c>
      <c r="H23" s="36"/>
      <c r="I23" s="36"/>
      <c r="J23" s="36"/>
      <c r="K23" s="36"/>
      <c r="L23" s="36"/>
      <c r="M23" s="795">
        <v>9</v>
      </c>
      <c r="N23" s="796">
        <f>((($N$15*1.1)*1.2)*1.2)*1.15</f>
        <v>268.47469439999992</v>
      </c>
      <c r="O23" s="595">
        <f>N23</f>
        <v>268.47469439999992</v>
      </c>
      <c r="P23" s="596" t="str">
        <f t="shared" si="1"/>
        <v>5.1% ^9</v>
      </c>
      <c r="Q23" s="796">
        <f t="shared" si="2"/>
        <v>172.05130840848381</v>
      </c>
      <c r="R23" s="797"/>
      <c r="S23" s="798"/>
      <c r="V23" s="484"/>
      <c r="W23" s="439"/>
      <c r="X23" s="439"/>
      <c r="Y23" s="597" t="s">
        <v>223</v>
      </c>
      <c r="Z23" s="33"/>
      <c r="AA23" s="800"/>
      <c r="AB23" s="800">
        <f>Financials!E10 -Financials!E15</f>
        <v>1308</v>
      </c>
      <c r="AC23" s="801"/>
      <c r="AD23" s="802"/>
      <c r="AE23" s="800"/>
      <c r="AF23" s="803">
        <f>Financials!E20</f>
        <v>632.64342857142856</v>
      </c>
      <c r="AG23" s="486"/>
      <c r="AJ23" s="487"/>
      <c r="AV23" s="439"/>
      <c r="AW23" s="439"/>
      <c r="AX23" s="439"/>
    </row>
    <row r="24" spans="1:50" x14ac:dyDescent="0.3">
      <c r="E24" s="482"/>
      <c r="F24" s="482"/>
      <c r="G24" s="53"/>
      <c r="H24" s="820">
        <f>N24*(1+E16)</f>
        <v>320.46115795200001</v>
      </c>
      <c r="I24" s="961" t="str">
        <f>" = "&amp;TEXT(H24/H25,"#,###")</f>
        <v xml:space="preserve"> = 7,877</v>
      </c>
      <c r="J24" s="961"/>
      <c r="K24" s="961"/>
      <c r="L24" s="34"/>
      <c r="M24" s="821">
        <v>10</v>
      </c>
      <c r="N24" s="822">
        <f>((($N$15*1.3)*1.2)*1.2)*1.15</f>
        <v>317.28827519999999</v>
      </c>
      <c r="O24" s="602">
        <f>N24+N25</f>
        <v>8194.2882752000005</v>
      </c>
      <c r="P24" s="962" t="str">
        <f t="shared" si="1"/>
        <v>5.1% ^10</v>
      </c>
      <c r="Q24" s="963">
        <f>O24/(1+$E$15)^M24</f>
        <v>4997.9758440592159</v>
      </c>
      <c r="R24" s="823"/>
      <c r="S24" s="824"/>
      <c r="Y24" s="603" t="s">
        <v>86</v>
      </c>
      <c r="Z24" s="33"/>
      <c r="AA24" s="825"/>
      <c r="AB24" s="826" t="str">
        <f>"x "&amp;TEXT(AB20,"0.0")</f>
        <v>x 4.9</v>
      </c>
      <c r="AC24" s="827"/>
      <c r="AD24" s="828"/>
      <c r="AE24" s="825"/>
      <c r="AF24" s="829" t="str">
        <f>"x "&amp;TEXT(AF20,"0.0")</f>
        <v>x 9.1</v>
      </c>
      <c r="AG24" s="486"/>
    </row>
    <row r="25" spans="1:50" x14ac:dyDescent="0.3">
      <c r="B25" s="485"/>
      <c r="E25" s="482"/>
      <c r="F25" s="482"/>
      <c r="G25" s="53"/>
      <c r="H25" s="830">
        <f>E15-E16</f>
        <v>4.0683007518796992E-2</v>
      </c>
      <c r="I25" s="961"/>
      <c r="J25" s="961"/>
      <c r="K25" s="961"/>
      <c r="L25" s="34"/>
      <c r="M25" s="831"/>
      <c r="N25" s="832">
        <f>ROUND(N24*(1+$E$16)/($E$15-$E$16),0)</f>
        <v>7877</v>
      </c>
      <c r="O25" s="604"/>
      <c r="P25" s="962"/>
      <c r="Q25" s="963"/>
      <c r="R25" s="823"/>
      <c r="S25" s="824"/>
      <c r="Y25" s="605"/>
      <c r="Z25" s="33"/>
      <c r="AA25" s="800"/>
      <c r="AB25" s="833">
        <f>AB20*AB23</f>
        <v>6388.8396226415089</v>
      </c>
      <c r="AC25" s="834"/>
      <c r="AD25" s="835"/>
      <c r="AE25" s="836"/>
      <c r="AF25" s="837">
        <f>AF20*AF23</f>
        <v>5746.5852923447856</v>
      </c>
    </row>
    <row r="26" spans="1:50" s="478" customFormat="1" ht="4.8" customHeight="1" x14ac:dyDescent="0.3">
      <c r="A26" s="477"/>
      <c r="B26" s="439"/>
      <c r="G26" s="56"/>
      <c r="H26" s="494"/>
      <c r="I26" s="494"/>
      <c r="J26" s="494"/>
      <c r="K26" s="494"/>
      <c r="L26" s="606"/>
      <c r="M26" s="838"/>
      <c r="N26" s="606"/>
      <c r="O26" s="606"/>
      <c r="P26" s="607"/>
      <c r="Q26" s="606"/>
      <c r="R26" s="606"/>
      <c r="S26" s="839"/>
      <c r="T26" s="48"/>
      <c r="V26" s="490"/>
      <c r="W26" s="439"/>
      <c r="X26" s="439"/>
      <c r="Y26" s="608"/>
      <c r="Z26" s="609"/>
      <c r="AA26" s="840"/>
      <c r="AB26" s="840"/>
      <c r="AC26" s="840"/>
      <c r="AD26" s="841"/>
      <c r="AE26" s="840"/>
      <c r="AF26" s="842"/>
      <c r="AG26" s="439"/>
    </row>
    <row r="27" spans="1:50" x14ac:dyDescent="0.3">
      <c r="H27" s="480"/>
      <c r="I27" s="610"/>
      <c r="J27" s="610"/>
      <c r="K27" s="611"/>
    </row>
    <row r="28" spans="1:50" x14ac:dyDescent="0.3">
      <c r="E28" s="612"/>
    </row>
    <row r="29" spans="1:50" x14ac:dyDescent="0.3">
      <c r="E29" s="612"/>
    </row>
    <row r="30" spans="1:50" x14ac:dyDescent="0.3">
      <c r="H30" s="488"/>
      <c r="I30" s="611"/>
      <c r="J30" s="611"/>
      <c r="K30" s="611"/>
    </row>
    <row r="32" spans="1:50" x14ac:dyDescent="0.3">
      <c r="U32" s="491"/>
    </row>
  </sheetData>
  <sheetProtection algorithmName="SHA-512" hashValue="JlAGkeWcx4PgQJrdDfDWDI026iyzcgSvipwJoM2+r1jGvHijRGOkDZlD3mrKzR32DgOQSivgnuLx8l/lD3ceEw==" saltValue="wtDxysEkZ15iLXgIVd/RDg==" spinCount="100000" sheet="1" objects="1" scenarios="1" selectLockedCells="1" selectUnlockedCells="1"/>
  <mergeCells count="14">
    <mergeCell ref="I24:K25"/>
    <mergeCell ref="P24:P25"/>
    <mergeCell ref="Q24:Q25"/>
    <mergeCell ref="H20:J20"/>
    <mergeCell ref="H21:J21"/>
    <mergeCell ref="AE3:AG3"/>
    <mergeCell ref="U12:V12"/>
    <mergeCell ref="D12:S12"/>
    <mergeCell ref="Y20:Z21"/>
    <mergeCell ref="AE12:AF12"/>
    <mergeCell ref="AF20:AF21"/>
    <mergeCell ref="AB20:AB21"/>
    <mergeCell ref="H16:K16"/>
    <mergeCell ref="H17:K17"/>
  </mergeCells>
  <printOptions horizontalCentered="1"/>
  <pageMargins left="0.5" right="0.5" top="0.75" bottom="0.5" header="0.5" footer="0.5"/>
  <pageSetup orientation="landscape" r:id="rId1"/>
  <headerFooter scaleWithDoc="0" alignWithMargins="0">
    <oddFooter>&amp;LValuation&amp;RPage &amp;P of &amp;N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A01E-6281-4F57-8140-27B22E695454}">
  <sheetPr codeName="Sheet11">
    <tabColor rgb="FFEBF1DE"/>
  </sheetPr>
  <dimension ref="A1:AK49"/>
  <sheetViews>
    <sheetView showGridLines="0" showRowColHeaders="0" zoomScaleNormal="100" zoomScaleSheetLayoutView="130" workbookViewId="0"/>
  </sheetViews>
  <sheetFormatPr defaultColWidth="11.5546875" defaultRowHeight="14.4" x14ac:dyDescent="0.3"/>
  <cols>
    <col min="1" max="1" width="3.109375" style="81" customWidth="1"/>
    <col min="2" max="2" width="5.5546875" style="81" customWidth="1"/>
    <col min="3" max="3" width="9.33203125" style="81" customWidth="1"/>
    <col min="4" max="4" width="7.21875" style="511" customWidth="1"/>
    <col min="5" max="5" width="5.21875" style="512" customWidth="1"/>
    <col min="6" max="6" width="2" style="512" customWidth="1"/>
    <col min="7" max="7" width="12.44140625" style="154" bestFit="1" customWidth="1"/>
    <col min="8" max="8" width="2" style="513" customWidth="1"/>
    <col min="9" max="9" width="12.21875" style="154" bestFit="1" customWidth="1"/>
    <col min="10" max="10" width="11.44140625" style="154" customWidth="1"/>
    <col min="11" max="11" width="22.21875" style="154" bestFit="1" customWidth="1"/>
    <col min="12" max="12" width="7" style="109" bestFit="1" customWidth="1"/>
    <col min="13" max="13" width="4.6640625" style="142" customWidth="1"/>
    <col min="14" max="14" width="3.6640625" style="142" customWidth="1"/>
    <col min="15" max="15" width="3" style="142" bestFit="1" customWidth="1"/>
    <col min="16" max="16" width="5.44140625" style="514" bestFit="1" customWidth="1"/>
    <col min="17" max="17" width="1.6640625" style="517" customWidth="1"/>
    <col min="18" max="18" width="3" style="142" bestFit="1" customWidth="1"/>
    <col min="19" max="19" width="8" style="518" bestFit="1" customWidth="1"/>
    <col min="20" max="20" width="4.77734375" style="519" bestFit="1" customWidth="1"/>
    <col min="21" max="21" width="1.6640625" style="517" customWidth="1"/>
    <col min="22" max="22" width="3.5546875" style="142" customWidth="1"/>
    <col min="23" max="23" width="4.109375" style="142" bestFit="1" customWidth="1"/>
    <col min="24" max="24" width="8.44140625" style="372" bestFit="1" customWidth="1"/>
    <col min="25" max="25" width="4.77734375" style="507" bestFit="1" customWidth="1"/>
    <col min="26" max="26" width="1.6640625" style="517" customWidth="1"/>
    <col min="27" max="27" width="4.77734375" style="507" bestFit="1" customWidth="1"/>
    <col min="28" max="29" width="11.5546875" style="507"/>
    <col min="30" max="30" width="15" style="507" customWidth="1"/>
    <col min="31" max="33" width="11.5546875" style="507"/>
    <col min="34" max="34" width="52.44140625" style="507" bestFit="1" customWidth="1"/>
    <col min="35" max="35" width="7" style="507" bestFit="1" customWidth="1"/>
    <col min="36" max="36" width="44.77734375" style="507" bestFit="1" customWidth="1"/>
    <col min="37" max="37" width="24.5546875" style="507" bestFit="1" customWidth="1"/>
    <col min="38" max="38" width="11.5546875" style="507"/>
    <col min="39" max="39" width="9.88671875" style="507" bestFit="1" customWidth="1"/>
    <col min="40" max="40" width="22.21875" style="507" bestFit="1" customWidth="1"/>
    <col min="41" max="41" width="6.109375" style="507" bestFit="1" customWidth="1"/>
    <col min="42" max="16384" width="11.5546875" style="507"/>
  </cols>
  <sheetData>
    <row r="1" spans="1:37" s="67" customFormat="1" ht="8.4" customHeight="1" x14ac:dyDescent="0.2">
      <c r="A1" s="885" t="s">
        <v>59</v>
      </c>
      <c r="E1" s="68"/>
      <c r="H1" s="167"/>
      <c r="W1" s="69"/>
    </row>
    <row r="2" spans="1:37" s="432" customFormat="1" ht="23.4" x14ac:dyDescent="0.45">
      <c r="A2" s="81"/>
      <c r="B2" s="882"/>
      <c r="C2" s="71" t="s">
        <v>151</v>
      </c>
      <c r="E2" s="71"/>
      <c r="F2" s="71"/>
      <c r="G2" s="71"/>
      <c r="H2" s="72"/>
      <c r="I2" s="72"/>
      <c r="J2" s="73"/>
      <c r="K2" s="73"/>
      <c r="L2" s="73"/>
      <c r="M2" s="169"/>
      <c r="N2" s="169"/>
      <c r="O2" s="169"/>
      <c r="Q2" s="196"/>
      <c r="R2" s="196"/>
      <c r="S2" s="196"/>
      <c r="T2" s="196"/>
      <c r="U2" s="196"/>
      <c r="V2" s="196"/>
      <c r="W2" s="528"/>
      <c r="X2" s="196"/>
      <c r="Y2" s="196"/>
      <c r="Z2" s="196"/>
      <c r="AA2" s="196"/>
      <c r="AB2" s="196"/>
      <c r="AC2" s="196"/>
      <c r="AD2" s="196"/>
    </row>
    <row r="3" spans="1:37" s="530" customFormat="1" ht="18" x14ac:dyDescent="0.35">
      <c r="A3" s="539"/>
      <c r="B3" s="882"/>
      <c r="C3" s="529" t="s">
        <v>379</v>
      </c>
      <c r="E3" s="531"/>
      <c r="F3" s="531"/>
      <c r="H3" s="532"/>
      <c r="I3" s="533"/>
      <c r="J3" s="533"/>
      <c r="K3" s="533"/>
      <c r="M3" s="534"/>
      <c r="N3" s="534"/>
      <c r="O3" s="534"/>
      <c r="Q3" s="196"/>
      <c r="R3" s="196"/>
      <c r="S3" s="196"/>
      <c r="T3" s="196"/>
      <c r="U3" s="196"/>
      <c r="V3" s="196"/>
      <c r="W3" s="528"/>
      <c r="X3" s="196"/>
      <c r="Y3" s="196"/>
      <c r="Z3" s="196"/>
      <c r="AA3" s="196"/>
      <c r="AB3" s="898"/>
      <c r="AC3" s="898"/>
      <c r="AD3" s="196"/>
    </row>
    <row r="4" spans="1:37" s="85" customFormat="1" x14ac:dyDescent="0.3">
      <c r="A4" s="109"/>
      <c r="C4" s="82"/>
      <c r="D4" s="83"/>
      <c r="E4" s="371"/>
      <c r="F4" s="371"/>
      <c r="G4" s="83"/>
      <c r="H4" s="371"/>
      <c r="I4" s="181"/>
      <c r="J4" s="181"/>
      <c r="K4" s="181"/>
      <c r="M4" s="88"/>
      <c r="N4" s="88"/>
      <c r="O4" s="88"/>
      <c r="Q4" s="472"/>
      <c r="S4" s="472"/>
      <c r="T4" s="472"/>
      <c r="U4" s="472"/>
      <c r="V4" s="472"/>
      <c r="W4" s="535"/>
      <c r="X4" s="472"/>
      <c r="Y4" s="472"/>
      <c r="Z4" s="472"/>
      <c r="AA4" s="472"/>
      <c r="AB4" s="472"/>
      <c r="AC4" s="472"/>
      <c r="AD4" s="472"/>
    </row>
    <row r="5" spans="1:37" s="536" customFormat="1" ht="15.6" x14ac:dyDescent="0.3">
      <c r="A5" s="141"/>
      <c r="C5" s="86" t="s">
        <v>256</v>
      </c>
      <c r="D5" s="90"/>
      <c r="E5" s="441"/>
      <c r="F5" s="441"/>
      <c r="G5" s="90"/>
      <c r="H5" s="441"/>
      <c r="I5" s="537"/>
      <c r="J5" s="537"/>
      <c r="K5" s="537"/>
      <c r="L5" s="85"/>
      <c r="M5" s="88"/>
      <c r="N5" s="88"/>
      <c r="O5" s="88"/>
      <c r="P5" s="141"/>
      <c r="Q5" s="472"/>
      <c r="R5" s="472"/>
      <c r="S5" s="472"/>
      <c r="T5" s="472"/>
      <c r="U5" s="472"/>
      <c r="V5" s="472"/>
      <c r="W5" s="535"/>
      <c r="X5" s="472"/>
      <c r="Y5" s="472"/>
      <c r="Z5" s="472"/>
      <c r="AA5" s="472"/>
      <c r="AB5" s="472"/>
      <c r="AC5" s="472"/>
      <c r="AD5" s="472"/>
    </row>
    <row r="6" spans="1:37" s="85" customFormat="1" ht="9.6" customHeight="1" x14ac:dyDescent="0.3">
      <c r="A6" s="141"/>
      <c r="E6" s="81"/>
      <c r="F6" s="81"/>
      <c r="H6" s="121"/>
      <c r="I6" s="538"/>
      <c r="J6" s="538"/>
      <c r="K6" s="538"/>
      <c r="L6" s="111"/>
      <c r="M6" s="142"/>
      <c r="N6" s="142"/>
      <c r="O6" s="142"/>
      <c r="R6" s="88"/>
      <c r="V6" s="88"/>
      <c r="W6" s="88"/>
    </row>
    <row r="7" spans="1:37" s="541" customFormat="1" x14ac:dyDescent="0.3">
      <c r="A7" s="141"/>
      <c r="B7" s="540"/>
      <c r="C7" s="141" t="s">
        <v>348</v>
      </c>
      <c r="D7" s="472"/>
      <c r="E7" s="539"/>
      <c r="F7" s="539"/>
      <c r="G7" s="472"/>
      <c r="H7" s="539"/>
      <c r="I7" s="472"/>
      <c r="J7" s="472"/>
      <c r="K7" s="472"/>
      <c r="M7" s="535"/>
      <c r="N7" s="542" t="s">
        <v>331</v>
      </c>
      <c r="O7" s="542"/>
      <c r="Q7" s="543"/>
      <c r="R7" s="543"/>
      <c r="S7" s="543"/>
      <c r="T7" s="543"/>
      <c r="U7" s="543"/>
      <c r="V7" s="543"/>
      <c r="W7" s="543"/>
      <c r="X7" s="543"/>
      <c r="Y7" s="543"/>
      <c r="Z7" s="543"/>
    </row>
    <row r="8" spans="1:37" s="111" customFormat="1" ht="7.2" customHeight="1" x14ac:dyDescent="0.3">
      <c r="A8" s="141"/>
      <c r="B8" s="85"/>
      <c r="C8" s="141"/>
      <c r="D8" s="141"/>
      <c r="E8" s="109"/>
      <c r="F8" s="109"/>
      <c r="G8" s="141"/>
      <c r="H8" s="109"/>
      <c r="I8" s="141"/>
      <c r="J8" s="141"/>
      <c r="K8" s="141"/>
      <c r="M8" s="142"/>
      <c r="N8" s="969" t="s">
        <v>325</v>
      </c>
      <c r="O8" s="969"/>
      <c r="P8" s="969"/>
      <c r="Q8" s="969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</row>
    <row r="9" spans="1:37" s="141" customFormat="1" ht="13.8" x14ac:dyDescent="0.3">
      <c r="C9" s="967" t="s">
        <v>324</v>
      </c>
      <c r="D9" s="967"/>
      <c r="E9" s="967"/>
      <c r="F9" s="967"/>
      <c r="G9" s="967"/>
      <c r="H9" s="967"/>
      <c r="I9" s="967"/>
      <c r="J9" s="967"/>
      <c r="K9" s="967"/>
      <c r="M9" s="142"/>
      <c r="N9" s="969"/>
      <c r="O9" s="969"/>
      <c r="P9" s="969"/>
      <c r="Q9" s="969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K9" s="109"/>
    </row>
    <row r="10" spans="1:37" s="141" customFormat="1" ht="7.2" customHeight="1" x14ac:dyDescent="0.3">
      <c r="A10" s="472"/>
      <c r="C10" s="967"/>
      <c r="D10" s="967"/>
      <c r="E10" s="967"/>
      <c r="F10" s="967"/>
      <c r="G10" s="967"/>
      <c r="H10" s="967"/>
      <c r="I10" s="967"/>
      <c r="J10" s="967"/>
      <c r="K10" s="967"/>
      <c r="M10" s="142"/>
      <c r="N10" s="968" t="s">
        <v>241</v>
      </c>
      <c r="O10" s="968"/>
      <c r="P10" s="968"/>
      <c r="Q10" s="968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K10" s="109"/>
    </row>
    <row r="11" spans="1:37" s="141" customFormat="1" ht="7.2" customHeight="1" x14ac:dyDescent="0.3">
      <c r="A11" s="472"/>
      <c r="C11" s="966" t="s">
        <v>347</v>
      </c>
      <c r="D11" s="966"/>
      <c r="E11" s="966"/>
      <c r="F11" s="966"/>
      <c r="G11" s="966"/>
      <c r="H11" s="966"/>
      <c r="I11" s="966"/>
      <c r="J11" s="966"/>
      <c r="K11" s="966"/>
      <c r="M11" s="142"/>
      <c r="N11" s="968"/>
      <c r="O11" s="968"/>
      <c r="P11" s="968"/>
      <c r="Q11" s="968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K11" s="109"/>
    </row>
    <row r="12" spans="1:37" s="141" customFormat="1" ht="7.2" customHeight="1" x14ac:dyDescent="0.3">
      <c r="C12" s="966"/>
      <c r="D12" s="966"/>
      <c r="E12" s="966"/>
      <c r="F12" s="966"/>
      <c r="G12" s="966"/>
      <c r="H12" s="966"/>
      <c r="I12" s="966"/>
      <c r="J12" s="966"/>
      <c r="K12" s="966"/>
      <c r="M12" s="142"/>
      <c r="N12" s="147"/>
      <c r="O12" s="147"/>
      <c r="P12" s="147"/>
      <c r="Q12" s="544"/>
      <c r="R12" s="544"/>
      <c r="S12" s="544"/>
      <c r="T12" s="544"/>
      <c r="U12" s="544"/>
      <c r="V12" s="544"/>
      <c r="W12" s="544"/>
      <c r="X12" s="544"/>
      <c r="Y12" s="544"/>
      <c r="Z12" s="544"/>
      <c r="AA12" s="545"/>
      <c r="AB12" s="545"/>
      <c r="AC12" s="147"/>
      <c r="AK12" s="109"/>
    </row>
    <row r="13" spans="1:37" s="141" customFormat="1" ht="13.8" x14ac:dyDescent="0.3">
      <c r="B13" s="522"/>
      <c r="C13" s="522" t="s">
        <v>349</v>
      </c>
      <c r="D13" s="522"/>
      <c r="E13" s="522"/>
      <c r="F13" s="522"/>
      <c r="G13" s="522"/>
      <c r="H13" s="522"/>
      <c r="I13" s="522"/>
      <c r="J13" s="522"/>
      <c r="K13" s="522"/>
      <c r="N13" s="524" t="s">
        <v>326</v>
      </c>
      <c r="O13" s="524"/>
      <c r="P13" s="147"/>
      <c r="Q13" s="546"/>
      <c r="R13" s="547"/>
      <c r="S13" s="547"/>
      <c r="T13" s="547"/>
      <c r="U13" s="546"/>
      <c r="V13" s="546"/>
      <c r="W13" s="546"/>
      <c r="X13" s="546"/>
      <c r="Y13" s="546"/>
      <c r="Z13" s="546"/>
      <c r="AA13" s="548"/>
      <c r="AB13" s="548"/>
      <c r="AC13" s="147"/>
    </row>
    <row r="14" spans="1:37" s="472" customFormat="1" ht="13.8" x14ac:dyDescent="0.3">
      <c r="A14" s="141"/>
      <c r="C14" s="521" t="s">
        <v>350</v>
      </c>
      <c r="D14" s="495"/>
      <c r="E14" s="121"/>
      <c r="F14" s="121"/>
      <c r="G14" s="495"/>
      <c r="H14" s="539"/>
      <c r="M14" s="535"/>
      <c r="N14" s="522" t="s">
        <v>242</v>
      </c>
      <c r="O14" s="522"/>
      <c r="P14" s="521"/>
      <c r="Q14" s="522"/>
      <c r="R14" s="522"/>
      <c r="S14" s="522"/>
      <c r="T14" s="522"/>
      <c r="U14" s="522"/>
      <c r="V14" s="522"/>
      <c r="W14" s="522"/>
      <c r="X14" s="522"/>
      <c r="Y14" s="522"/>
      <c r="Z14" s="522"/>
      <c r="AA14" s="522"/>
      <c r="AB14" s="522"/>
      <c r="AC14" s="521"/>
    </row>
    <row r="15" spans="1:37" s="472" customFormat="1" ht="6" customHeight="1" x14ac:dyDescent="0.3">
      <c r="A15" s="141"/>
      <c r="C15" s="521"/>
      <c r="D15" s="495"/>
      <c r="E15" s="121"/>
      <c r="F15" s="121"/>
      <c r="G15" s="495"/>
      <c r="H15" s="539"/>
      <c r="M15" s="535"/>
      <c r="N15" s="522"/>
      <c r="O15" s="522"/>
      <c r="P15" s="521"/>
      <c r="Q15" s="522"/>
      <c r="R15" s="522"/>
      <c r="S15" s="522"/>
      <c r="T15" s="522"/>
      <c r="U15" s="522"/>
      <c r="V15" s="522"/>
      <c r="W15" s="522"/>
      <c r="X15" s="522"/>
      <c r="Y15" s="522"/>
      <c r="Z15" s="522"/>
      <c r="AA15" s="522"/>
      <c r="AB15" s="522"/>
      <c r="AC15" s="521"/>
    </row>
    <row r="16" spans="1:37" s="141" customFormat="1" ht="13.8" x14ac:dyDescent="0.3">
      <c r="C16" s="527" t="s">
        <v>328</v>
      </c>
      <c r="D16" s="973" t="s">
        <v>249</v>
      </c>
      <c r="E16" s="974"/>
      <c r="F16" s="121"/>
      <c r="G16" s="526"/>
      <c r="H16" s="523" t="s">
        <v>300</v>
      </c>
      <c r="I16" s="37" t="s">
        <v>298</v>
      </c>
      <c r="J16" s="182"/>
      <c r="K16" s="182"/>
      <c r="L16" s="182"/>
      <c r="M16" s="142"/>
      <c r="N16" s="524" t="s">
        <v>327</v>
      </c>
      <c r="O16" s="524"/>
      <c r="P16" s="147"/>
      <c r="Q16" s="147"/>
      <c r="R16" s="524"/>
      <c r="S16" s="525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</row>
    <row r="17" spans="1:30" s="141" customFormat="1" ht="13.8" x14ac:dyDescent="0.3">
      <c r="C17" s="527" t="s">
        <v>329</v>
      </c>
      <c r="D17" s="971" t="s">
        <v>253</v>
      </c>
      <c r="E17" s="972"/>
      <c r="F17" s="121" t="s">
        <v>233</v>
      </c>
      <c r="G17" s="37" t="s">
        <v>252</v>
      </c>
      <c r="H17" s="523" t="s">
        <v>300</v>
      </c>
      <c r="I17" s="37" t="s">
        <v>298</v>
      </c>
      <c r="J17" s="182"/>
      <c r="K17" s="182"/>
      <c r="L17" s="182"/>
      <c r="M17" s="142"/>
      <c r="N17" s="521" t="s">
        <v>334</v>
      </c>
      <c r="O17" s="521"/>
      <c r="P17" s="147"/>
      <c r="Q17" s="147"/>
      <c r="R17" s="147"/>
      <c r="S17" s="147"/>
      <c r="T17" s="521"/>
      <c r="U17" s="147"/>
      <c r="V17" s="147"/>
      <c r="W17" s="147"/>
      <c r="X17" s="147"/>
      <c r="Y17" s="147"/>
      <c r="Z17" s="147"/>
      <c r="AA17" s="147"/>
      <c r="AB17" s="147"/>
      <c r="AC17" s="147"/>
    </row>
    <row r="18" spans="1:30" s="141" customFormat="1" ht="13.8" x14ac:dyDescent="0.3">
      <c r="C18" s="527" t="s">
        <v>330</v>
      </c>
      <c r="D18" s="973" t="s">
        <v>254</v>
      </c>
      <c r="E18" s="974"/>
      <c r="F18" s="121" t="s">
        <v>233</v>
      </c>
      <c r="G18" s="47" t="s">
        <v>251</v>
      </c>
      <c r="H18" s="523" t="s">
        <v>300</v>
      </c>
      <c r="I18" s="37" t="s">
        <v>299</v>
      </c>
      <c r="M18" s="142"/>
      <c r="N18" s="522" t="s">
        <v>335</v>
      </c>
      <c r="O18" s="522"/>
      <c r="P18" s="147"/>
      <c r="Q18" s="522"/>
      <c r="R18" s="522"/>
      <c r="S18" s="522"/>
      <c r="T18" s="522"/>
      <c r="U18" s="522"/>
      <c r="V18" s="522"/>
      <c r="W18" s="522"/>
      <c r="X18" s="522"/>
      <c r="Y18" s="522"/>
      <c r="Z18" s="522"/>
      <c r="AA18" s="522"/>
      <c r="AB18" s="522"/>
      <c r="AC18" s="522"/>
    </row>
    <row r="19" spans="1:30" s="141" customFormat="1" ht="13.8" x14ac:dyDescent="0.3">
      <c r="H19" s="109"/>
      <c r="M19" s="142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5"/>
      <c r="AA19" s="495"/>
      <c r="AB19" s="495"/>
      <c r="AC19" s="495"/>
    </row>
    <row r="20" spans="1:30" s="141" customFormat="1" ht="15.6" customHeight="1" x14ac:dyDescent="0.3">
      <c r="C20" s="496" t="s">
        <v>282</v>
      </c>
      <c r="H20" s="109"/>
      <c r="P20" s="497" t="s">
        <v>250</v>
      </c>
      <c r="Q20" s="498"/>
      <c r="R20" s="970" t="s">
        <v>206</v>
      </c>
      <c r="S20" s="970"/>
      <c r="T20" s="970"/>
      <c r="U20" s="498"/>
      <c r="V20" s="970" t="s">
        <v>255</v>
      </c>
      <c r="W20" s="970"/>
      <c r="X20" s="970"/>
      <c r="Y20" s="970"/>
      <c r="Z20" s="498"/>
      <c r="AA20" s="499" t="s">
        <v>281</v>
      </c>
    </row>
    <row r="21" spans="1:30" s="141" customFormat="1" ht="15.6" customHeight="1" x14ac:dyDescent="0.3">
      <c r="C21" s="89" t="s">
        <v>336</v>
      </c>
      <c r="H21" s="109"/>
      <c r="J21" s="196" t="s">
        <v>11</v>
      </c>
      <c r="K21" s="196"/>
      <c r="L21" s="196"/>
      <c r="P21" s="843">
        <f>PRICE($L$22,$L$23,$L$24,$L$26,$L$27,$L$28)*10</f>
        <v>1199.9999262969509</v>
      </c>
      <c r="Q21" s="495"/>
      <c r="R21" s="844">
        <f t="shared" ref="R21:R29" si="0">1000*$L$24</f>
        <v>70</v>
      </c>
      <c r="S21" s="845">
        <f>P21</f>
        <v>1199.9999262969509</v>
      </c>
      <c r="T21" s="846">
        <f>R21/S21</f>
        <v>5.8333336916120665E-2</v>
      </c>
      <c r="U21" s="495"/>
      <c r="V21" s="847"/>
      <c r="W21" s="848"/>
      <c r="X21" s="845"/>
      <c r="Y21" s="846" t="s">
        <v>280</v>
      </c>
      <c r="Z21" s="495"/>
      <c r="AA21" s="849">
        <f t="shared" ref="AA21:AA29" si="1">YIELD($L$22+($P$21-P21)/25*365.25,$L$23,$L$24,P21/10,$L$27,$L$28)</f>
        <v>4.4754718328592319E-2</v>
      </c>
    </row>
    <row r="22" spans="1:30" s="141" customFormat="1" x14ac:dyDescent="0.3">
      <c r="A22" s="81"/>
      <c r="C22" s="500" t="s">
        <v>99</v>
      </c>
      <c r="D22" s="613" t="s">
        <v>301</v>
      </c>
      <c r="E22" s="613"/>
      <c r="F22" s="613"/>
      <c r="G22" s="613"/>
      <c r="H22" s="613"/>
      <c r="I22" s="614"/>
      <c r="J22" s="99" t="s">
        <v>270</v>
      </c>
      <c r="K22" s="141" t="s">
        <v>234</v>
      </c>
      <c r="L22" s="850">
        <v>46023</v>
      </c>
      <c r="P22" s="851">
        <f t="shared" ref="P22:P29" si="2">+P21-25</f>
        <v>1174.9999262969509</v>
      </c>
      <c r="Q22" s="495"/>
      <c r="R22" s="852">
        <f t="shared" si="0"/>
        <v>70</v>
      </c>
      <c r="S22" s="853">
        <f t="shared" ref="S22:S29" si="3">P22</f>
        <v>1174.9999262969509</v>
      </c>
      <c r="T22" s="854">
        <f t="shared" ref="T22:T29" si="4">R22/S22</f>
        <v>5.9574471821974659E-2</v>
      </c>
      <c r="U22" s="495"/>
      <c r="V22" s="855">
        <f t="shared" ref="V22:V29" si="5">1000*$L$24</f>
        <v>70</v>
      </c>
      <c r="W22" s="856">
        <f>P22-P21</f>
        <v>-25</v>
      </c>
      <c r="X22" s="857">
        <f>P21</f>
        <v>1199.9999262969509</v>
      </c>
      <c r="Y22" s="854">
        <f>(V22+W22)/X22</f>
        <v>3.7500002303220425E-2</v>
      </c>
      <c r="Z22" s="495"/>
      <c r="AA22" s="858">
        <f t="shared" si="1"/>
        <v>4.5833951861643331E-2</v>
      </c>
    </row>
    <row r="23" spans="1:30" s="141" customFormat="1" x14ac:dyDescent="0.3">
      <c r="A23" s="81"/>
      <c r="C23" s="501" t="s">
        <v>68</v>
      </c>
      <c r="D23" s="163" t="str">
        <f>"= PRICE ("&amp;TEXT(L22,"m/d/yy")&amp;", "&amp;TEXT( L23,"m/d/yy")&amp;", "&amp;TEXT(L24,"0.0%")&amp;", "&amp;TEXT(L26,"0.0%")&amp;", "&amp;TEXT(L27,0)&amp;", "&amp;TEXT(L28,0)&amp;")"</f>
        <v>= PRICE (1/1/26, 1/1/36, 7.0%, 4.5%, 100, 1)</v>
      </c>
      <c r="E23" s="163"/>
      <c r="F23" s="163"/>
      <c r="G23" s="163"/>
      <c r="H23" s="163"/>
      <c r="I23" s="502"/>
      <c r="J23" s="99" t="s">
        <v>271</v>
      </c>
      <c r="K23" s="141" t="s">
        <v>235</v>
      </c>
      <c r="L23" s="859">
        <v>49675</v>
      </c>
      <c r="P23" s="860">
        <f t="shared" si="2"/>
        <v>1149.9999262969509</v>
      </c>
      <c r="Q23" s="121"/>
      <c r="R23" s="852">
        <f t="shared" si="0"/>
        <v>70</v>
      </c>
      <c r="S23" s="853">
        <f t="shared" si="3"/>
        <v>1149.9999262969509</v>
      </c>
      <c r="T23" s="854">
        <f t="shared" si="4"/>
        <v>6.0869569118498126E-2</v>
      </c>
      <c r="U23" s="121"/>
      <c r="V23" s="855">
        <f t="shared" si="5"/>
        <v>70</v>
      </c>
      <c r="W23" s="856">
        <f t="shared" ref="W23:W29" si="6">P23-P22</f>
        <v>-25</v>
      </c>
      <c r="X23" s="857">
        <f t="shared" ref="X23:X29" si="7">P22</f>
        <v>1174.9999262969509</v>
      </c>
      <c r="Y23" s="854">
        <f t="shared" ref="Y23:Y29" si="8">(V23+W23)/X23</f>
        <v>3.8297874742697996E-2</v>
      </c>
      <c r="Z23" s="121"/>
      <c r="AA23" s="858">
        <f t="shared" si="1"/>
        <v>4.7066201887737656E-2</v>
      </c>
    </row>
    <row r="24" spans="1:30" s="141" customFormat="1" x14ac:dyDescent="0.3">
      <c r="A24" s="81"/>
      <c r="C24" s="501" t="s">
        <v>297</v>
      </c>
      <c r="D24" s="861">
        <f>PRICE(L22,L23,L24,L26,L27,L28)*10</f>
        <v>1199.9999262969509</v>
      </c>
      <c r="E24" s="615" t="s">
        <v>268</v>
      </c>
      <c r="G24" s="272"/>
      <c r="H24" s="109"/>
      <c r="J24" s="99" t="s">
        <v>6</v>
      </c>
      <c r="K24" s="141" t="s">
        <v>238</v>
      </c>
      <c r="L24" s="862">
        <v>7.0000000000000007E-2</v>
      </c>
      <c r="P24" s="851">
        <f t="shared" si="2"/>
        <v>1124.9999262969509</v>
      </c>
      <c r="Q24" s="121"/>
      <c r="R24" s="852">
        <f t="shared" si="0"/>
        <v>70</v>
      </c>
      <c r="S24" s="853">
        <f t="shared" si="3"/>
        <v>1124.9999262969509</v>
      </c>
      <c r="T24" s="854">
        <f t="shared" si="4"/>
        <v>6.2222226298638043E-2</v>
      </c>
      <c r="U24" s="121"/>
      <c r="V24" s="855">
        <f t="shared" si="5"/>
        <v>70</v>
      </c>
      <c r="W24" s="856">
        <f t="shared" si="6"/>
        <v>-25</v>
      </c>
      <c r="X24" s="857">
        <f t="shared" si="7"/>
        <v>1149.9999262969509</v>
      </c>
      <c r="Y24" s="854">
        <f t="shared" si="8"/>
        <v>3.9130437290463081E-2</v>
      </c>
      <c r="Z24" s="121"/>
      <c r="AA24" s="858">
        <f t="shared" si="1"/>
        <v>4.8513745977354542E-2</v>
      </c>
    </row>
    <row r="25" spans="1:30" s="141" customFormat="1" x14ac:dyDescent="0.3">
      <c r="A25" s="81"/>
      <c r="H25" s="109"/>
      <c r="J25" s="503" t="s">
        <v>339</v>
      </c>
      <c r="K25" s="141" t="s">
        <v>341</v>
      </c>
      <c r="L25" s="863">
        <v>1200</v>
      </c>
      <c r="O25" s="504" t="s">
        <v>332</v>
      </c>
      <c r="P25" s="860">
        <f t="shared" si="2"/>
        <v>1099.9999262969509</v>
      </c>
      <c r="Q25" s="121"/>
      <c r="R25" s="852">
        <f t="shared" si="0"/>
        <v>70</v>
      </c>
      <c r="S25" s="853">
        <f t="shared" si="3"/>
        <v>1099.9999262969509</v>
      </c>
      <c r="T25" s="854">
        <f t="shared" si="4"/>
        <v>6.3636367900176682E-2</v>
      </c>
      <c r="U25" s="121"/>
      <c r="V25" s="855">
        <f t="shared" si="5"/>
        <v>70</v>
      </c>
      <c r="W25" s="856">
        <f t="shared" si="6"/>
        <v>-25</v>
      </c>
      <c r="X25" s="857">
        <f t="shared" si="7"/>
        <v>1124.9999262969509</v>
      </c>
      <c r="Y25" s="854">
        <f t="shared" si="8"/>
        <v>4.0000002620553032E-2</v>
      </c>
      <c r="Z25" s="121"/>
      <c r="AA25" s="858">
        <f t="shared" si="1"/>
        <v>5.0280585550575504E-2</v>
      </c>
    </row>
    <row r="26" spans="1:30" s="141" customFormat="1" x14ac:dyDescent="0.3">
      <c r="A26" s="81"/>
      <c r="B26" s="81"/>
      <c r="C26" s="89" t="s">
        <v>337</v>
      </c>
      <c r="D26" s="196"/>
      <c r="E26" s="196"/>
      <c r="F26" s="196"/>
      <c r="G26" s="196"/>
      <c r="H26" s="101"/>
      <c r="I26" s="196"/>
      <c r="J26" s="505" t="s">
        <v>340</v>
      </c>
      <c r="K26" s="141" t="s">
        <v>342</v>
      </c>
      <c r="L26" s="864">
        <v>4.4754718335139727E-2</v>
      </c>
      <c r="O26" s="504" t="s">
        <v>333</v>
      </c>
      <c r="P26" s="860">
        <f t="shared" si="2"/>
        <v>1074.9999262969509</v>
      </c>
      <c r="Q26" s="121"/>
      <c r="R26" s="852">
        <f t="shared" si="0"/>
        <v>70</v>
      </c>
      <c r="S26" s="853">
        <f t="shared" si="3"/>
        <v>1074.9999262969509</v>
      </c>
      <c r="T26" s="854">
        <f t="shared" si="4"/>
        <v>6.5116283534203387E-2</v>
      </c>
      <c r="U26" s="121"/>
      <c r="V26" s="855">
        <f t="shared" si="5"/>
        <v>70</v>
      </c>
      <c r="W26" s="856">
        <f t="shared" si="6"/>
        <v>-25</v>
      </c>
      <c r="X26" s="857">
        <f t="shared" si="7"/>
        <v>1099.9999262969509</v>
      </c>
      <c r="Y26" s="854">
        <f t="shared" si="8"/>
        <v>4.0909093650113582E-2</v>
      </c>
      <c r="Z26" s="121"/>
      <c r="AA26" s="858">
        <f t="shared" si="1"/>
        <v>5.255440549596159E-2</v>
      </c>
    </row>
    <row r="27" spans="1:30" x14ac:dyDescent="0.3">
      <c r="C27" s="500" t="s">
        <v>99</v>
      </c>
      <c r="D27" s="506" t="s">
        <v>302</v>
      </c>
      <c r="E27" s="506"/>
      <c r="F27" s="506"/>
      <c r="G27" s="506"/>
      <c r="H27" s="506"/>
      <c r="I27" s="506"/>
      <c r="J27" s="116" t="s">
        <v>272</v>
      </c>
      <c r="K27" s="141" t="s">
        <v>236</v>
      </c>
      <c r="L27" s="863">
        <v>100</v>
      </c>
      <c r="P27" s="851">
        <f t="shared" si="2"/>
        <v>1049.9999262969509</v>
      </c>
      <c r="Q27" s="121"/>
      <c r="R27" s="852">
        <f t="shared" si="0"/>
        <v>70</v>
      </c>
      <c r="S27" s="853">
        <f t="shared" si="3"/>
        <v>1049.9999262969509</v>
      </c>
      <c r="T27" s="854">
        <f t="shared" si="4"/>
        <v>6.666667134622567E-2</v>
      </c>
      <c r="U27" s="121"/>
      <c r="V27" s="855">
        <f t="shared" si="5"/>
        <v>70</v>
      </c>
      <c r="W27" s="856">
        <f t="shared" si="6"/>
        <v>-25</v>
      </c>
      <c r="X27" s="857">
        <f t="shared" si="7"/>
        <v>1074.9999262969509</v>
      </c>
      <c r="Y27" s="854">
        <f t="shared" si="8"/>
        <v>4.186046798627361E-2</v>
      </c>
      <c r="Z27" s="121"/>
      <c r="AA27" s="858">
        <f t="shared" si="1"/>
        <v>5.5711870074483916E-2</v>
      </c>
    </row>
    <row r="28" spans="1:30" x14ac:dyDescent="0.3">
      <c r="C28" s="501" t="s">
        <v>68</v>
      </c>
      <c r="D28" s="116" t="str">
        <f>"= YIELD ("&amp;TEXT(L22,"m/d/yy")&amp;", "&amp;TEXT( L23,"m/d/yy")&amp;", "&amp;TEXT(L24,"0.0%")&amp;", "&amp;TEXT(D24,"0")&amp;"/10, "&amp;TEXT(L27,0)&amp;", "&amp;TEXT(L28,0)&amp;")"</f>
        <v>= YIELD (1/1/26, 1/1/36, 7.0%, 1200/10, 100, 1)</v>
      </c>
      <c r="E28" s="116"/>
      <c r="F28" s="116"/>
      <c r="G28" s="116"/>
      <c r="H28" s="116"/>
      <c r="I28" s="508"/>
      <c r="J28" s="99" t="s">
        <v>273</v>
      </c>
      <c r="K28" s="141" t="s">
        <v>237</v>
      </c>
      <c r="L28" s="865">
        <v>1</v>
      </c>
      <c r="P28" s="851">
        <f t="shared" si="2"/>
        <v>1024.9999262969509</v>
      </c>
      <c r="Q28" s="121"/>
      <c r="R28" s="852">
        <f t="shared" si="0"/>
        <v>70</v>
      </c>
      <c r="S28" s="853">
        <f t="shared" si="3"/>
        <v>1024.9999262969509</v>
      </c>
      <c r="T28" s="854">
        <f t="shared" si="4"/>
        <v>6.8292687837443244E-2</v>
      </c>
      <c r="U28" s="121"/>
      <c r="V28" s="855">
        <f t="shared" si="5"/>
        <v>70</v>
      </c>
      <c r="W28" s="856">
        <f t="shared" si="6"/>
        <v>-25</v>
      </c>
      <c r="X28" s="857">
        <f t="shared" si="7"/>
        <v>1049.9999262969509</v>
      </c>
      <c r="Y28" s="854">
        <f t="shared" si="8"/>
        <v>4.2857145865430789E-2</v>
      </c>
      <c r="Z28" s="121"/>
      <c r="AA28" s="858">
        <f t="shared" si="1"/>
        <v>6.0636270129327437E-2</v>
      </c>
    </row>
    <row r="29" spans="1:30" x14ac:dyDescent="0.3">
      <c r="C29" s="501" t="s">
        <v>297</v>
      </c>
      <c r="D29" s="866">
        <f>YIELD(L22,L23,L24,L25/10,L27,L28)</f>
        <v>4.4754710053138337E-2</v>
      </c>
      <c r="E29" s="509" t="s">
        <v>269</v>
      </c>
      <c r="F29" s="141"/>
      <c r="G29" s="141"/>
      <c r="H29" s="101"/>
      <c r="I29" s="196"/>
      <c r="J29" s="507"/>
      <c r="K29" s="507"/>
      <c r="L29" s="507"/>
      <c r="N29" s="141"/>
      <c r="O29" s="141"/>
      <c r="P29" s="867">
        <f t="shared" si="2"/>
        <v>999.99992629695089</v>
      </c>
      <c r="Q29" s="121"/>
      <c r="R29" s="868">
        <f t="shared" si="0"/>
        <v>70</v>
      </c>
      <c r="S29" s="869">
        <f t="shared" si="3"/>
        <v>999.99992629695089</v>
      </c>
      <c r="T29" s="870">
        <f t="shared" si="4"/>
        <v>7.0000005159213813E-2</v>
      </c>
      <c r="U29" s="121"/>
      <c r="V29" s="871">
        <f t="shared" si="5"/>
        <v>70</v>
      </c>
      <c r="W29" s="872">
        <f t="shared" si="6"/>
        <v>-25</v>
      </c>
      <c r="X29" s="873">
        <f t="shared" si="7"/>
        <v>1024.9999262969509</v>
      </c>
      <c r="Y29" s="870">
        <f t="shared" si="8"/>
        <v>4.3902442181213516E-2</v>
      </c>
      <c r="Z29" s="121"/>
      <c r="AA29" s="874">
        <f t="shared" si="1"/>
        <v>7.0000040764553559E-2</v>
      </c>
    </row>
    <row r="30" spans="1:30" x14ac:dyDescent="0.3">
      <c r="C30" s="510"/>
      <c r="P30" s="507"/>
      <c r="Q30" s="507"/>
      <c r="R30" s="507"/>
      <c r="S30" s="507"/>
      <c r="T30" s="507"/>
      <c r="U30" s="507"/>
      <c r="V30" s="507"/>
      <c r="W30" s="507"/>
      <c r="X30" s="507"/>
      <c r="Z30" s="507"/>
    </row>
    <row r="31" spans="1:30" x14ac:dyDescent="0.3">
      <c r="J31" s="507"/>
      <c r="K31" s="507"/>
      <c r="L31" s="507"/>
      <c r="Q31" s="507"/>
      <c r="R31" s="507"/>
      <c r="S31" s="507"/>
      <c r="T31" s="507"/>
      <c r="U31" s="507"/>
      <c r="V31" s="507"/>
      <c r="W31" s="507"/>
      <c r="X31" s="507"/>
      <c r="Z31" s="507"/>
    </row>
    <row r="32" spans="1:30" x14ac:dyDescent="0.3">
      <c r="P32" s="507"/>
      <c r="Q32" s="507"/>
      <c r="R32" s="507"/>
      <c r="S32" s="507"/>
      <c r="T32" s="507"/>
      <c r="U32" s="507"/>
      <c r="V32" s="507"/>
      <c r="W32" s="507"/>
      <c r="X32" s="507"/>
      <c r="Z32" s="507"/>
      <c r="AB32" s="141"/>
      <c r="AC32" s="141"/>
      <c r="AD32" s="141"/>
    </row>
    <row r="33" spans="16:30" x14ac:dyDescent="0.3">
      <c r="P33" s="515"/>
      <c r="Q33" s="507"/>
      <c r="R33" s="507"/>
      <c r="S33" s="507"/>
      <c r="T33" s="507"/>
      <c r="U33" s="507"/>
      <c r="V33" s="507"/>
      <c r="W33" s="507"/>
      <c r="X33" s="507"/>
      <c r="Z33" s="507"/>
      <c r="AB33" s="141"/>
      <c r="AC33" s="141"/>
      <c r="AD33" s="141"/>
    </row>
    <row r="34" spans="16:30" x14ac:dyDescent="0.3">
      <c r="P34" s="507"/>
      <c r="Q34" s="507"/>
      <c r="R34" s="507"/>
      <c r="S34" s="507"/>
      <c r="T34" s="507"/>
      <c r="U34" s="507"/>
      <c r="V34" s="507"/>
      <c r="W34" s="507"/>
      <c r="X34" s="507"/>
      <c r="Z34" s="507"/>
      <c r="AB34" s="141"/>
      <c r="AC34" s="141"/>
      <c r="AD34" s="141"/>
    </row>
    <row r="35" spans="16:30" x14ac:dyDescent="0.3">
      <c r="P35" s="507"/>
      <c r="Q35" s="507"/>
      <c r="R35" s="507"/>
      <c r="S35" s="507"/>
      <c r="T35" s="507"/>
      <c r="U35" s="507"/>
      <c r="V35" s="507"/>
      <c r="W35" s="507"/>
      <c r="X35" s="507"/>
      <c r="Z35" s="507"/>
      <c r="AB35" s="141"/>
      <c r="AC35" s="141"/>
      <c r="AD35" s="141"/>
    </row>
    <row r="36" spans="16:30" x14ac:dyDescent="0.3">
      <c r="P36" s="507"/>
      <c r="Q36" s="507"/>
      <c r="R36" s="507"/>
      <c r="S36" s="507"/>
      <c r="T36" s="507"/>
      <c r="U36" s="507"/>
      <c r="V36" s="507"/>
      <c r="W36" s="507"/>
      <c r="X36" s="507"/>
      <c r="Z36" s="507"/>
      <c r="AB36" s="516"/>
      <c r="AC36" s="141"/>
      <c r="AD36" s="141"/>
    </row>
    <row r="37" spans="16:30" x14ac:dyDescent="0.3">
      <c r="P37" s="507"/>
      <c r="Q37" s="507"/>
      <c r="R37" s="507"/>
      <c r="S37" s="507"/>
      <c r="T37" s="507"/>
      <c r="U37" s="507"/>
      <c r="V37" s="507"/>
      <c r="W37" s="507"/>
      <c r="X37" s="507"/>
      <c r="Z37" s="507"/>
      <c r="AB37" s="141"/>
      <c r="AC37" s="141"/>
      <c r="AD37" s="141"/>
    </row>
    <row r="38" spans="16:30" x14ac:dyDescent="0.3">
      <c r="P38" s="507"/>
      <c r="Q38" s="507"/>
      <c r="R38" s="507"/>
      <c r="S38" s="507"/>
      <c r="T38" s="507"/>
      <c r="U38" s="507"/>
      <c r="V38" s="507"/>
      <c r="W38" s="507"/>
      <c r="X38" s="507"/>
      <c r="Z38" s="507"/>
      <c r="AB38" s="141"/>
      <c r="AC38" s="141"/>
      <c r="AD38" s="141"/>
    </row>
    <row r="39" spans="16:30" x14ac:dyDescent="0.3">
      <c r="P39" s="507"/>
      <c r="Q39" s="507"/>
      <c r="R39" s="507"/>
      <c r="S39" s="507"/>
      <c r="T39" s="507"/>
      <c r="U39" s="507"/>
      <c r="V39" s="507"/>
      <c r="W39" s="507"/>
      <c r="X39" s="507"/>
      <c r="Z39" s="507"/>
      <c r="AB39" s="141"/>
      <c r="AC39" s="141"/>
      <c r="AD39" s="141"/>
    </row>
    <row r="40" spans="16:30" x14ac:dyDescent="0.3">
      <c r="P40" s="507"/>
      <c r="Q40" s="507"/>
      <c r="R40" s="507"/>
      <c r="S40" s="507"/>
      <c r="T40" s="507"/>
      <c r="U40" s="507"/>
      <c r="V40" s="507"/>
      <c r="W40" s="507"/>
      <c r="X40" s="507"/>
      <c r="Z40" s="507"/>
      <c r="AB40" s="141"/>
      <c r="AC40" s="141"/>
      <c r="AD40" s="141"/>
    </row>
    <row r="41" spans="16:30" x14ac:dyDescent="0.3">
      <c r="P41" s="507"/>
      <c r="Q41" s="507"/>
      <c r="R41" s="507"/>
      <c r="S41" s="507"/>
      <c r="T41" s="507"/>
      <c r="U41" s="507"/>
      <c r="V41" s="507"/>
      <c r="W41" s="507"/>
      <c r="X41" s="507"/>
      <c r="Z41" s="507"/>
      <c r="AB41" s="141"/>
      <c r="AC41" s="141"/>
      <c r="AD41" s="141"/>
    </row>
    <row r="42" spans="16:30" x14ac:dyDescent="0.3">
      <c r="P42" s="507"/>
      <c r="Q42" s="507"/>
      <c r="R42" s="507"/>
      <c r="S42" s="507"/>
      <c r="T42" s="507"/>
      <c r="U42" s="507"/>
      <c r="V42" s="507"/>
      <c r="W42" s="507"/>
      <c r="X42" s="507"/>
      <c r="Z42" s="507"/>
      <c r="AB42" s="141"/>
      <c r="AC42" s="141"/>
      <c r="AD42" s="141"/>
    </row>
    <row r="43" spans="16:30" x14ac:dyDescent="0.3">
      <c r="P43" s="507"/>
      <c r="Q43" s="507"/>
      <c r="R43" s="507"/>
      <c r="S43" s="507"/>
      <c r="T43" s="507"/>
      <c r="U43" s="507"/>
      <c r="V43" s="507"/>
      <c r="W43" s="507"/>
      <c r="X43" s="507"/>
      <c r="Z43" s="507"/>
    </row>
    <row r="44" spans="16:30" x14ac:dyDescent="0.3">
      <c r="P44" s="507"/>
      <c r="Q44" s="507"/>
      <c r="R44" s="507"/>
      <c r="S44" s="507"/>
      <c r="T44" s="507"/>
      <c r="U44" s="507"/>
      <c r="V44" s="507"/>
      <c r="W44" s="507"/>
      <c r="X44" s="507"/>
      <c r="Z44" s="507"/>
    </row>
    <row r="45" spans="16:30" x14ac:dyDescent="0.3">
      <c r="W45" s="520"/>
    </row>
    <row r="46" spans="16:30" x14ac:dyDescent="0.3">
      <c r="W46" s="520"/>
    </row>
    <row r="47" spans="16:30" x14ac:dyDescent="0.3">
      <c r="W47" s="520"/>
    </row>
    <row r="48" spans="16:30" x14ac:dyDescent="0.3">
      <c r="W48" s="520"/>
    </row>
    <row r="49" spans="23:23" x14ac:dyDescent="0.3">
      <c r="W49" s="520"/>
    </row>
  </sheetData>
  <sheetProtection algorithmName="SHA-512" hashValue="MAgwPYCqYVUwkqMNGa8AbEEaLLnBzT2MUHJdcAlOTfTxJsBy1KWj3K0gvxn4xxayyoLUHVbM5LA23caZU3v/RQ==" saltValue="YAmZPzm36CPdJpu3cPSW9Q==" spinCount="100000" sheet="1" objects="1" scenarios="1" selectLockedCells="1" selectUnlockedCells="1"/>
  <mergeCells count="10">
    <mergeCell ref="V20:Y20"/>
    <mergeCell ref="R20:T20"/>
    <mergeCell ref="D17:E17"/>
    <mergeCell ref="D18:E18"/>
    <mergeCell ref="D16:E16"/>
    <mergeCell ref="AB3:AC3"/>
    <mergeCell ref="C11:K12"/>
    <mergeCell ref="C9:K10"/>
    <mergeCell ref="N10:AC11"/>
    <mergeCell ref="N8:AC9"/>
  </mergeCells>
  <conditionalFormatting sqref="P21:P29">
    <cfRule type="colorScale" priority="143">
      <colorScale>
        <cfvo type="min"/>
        <cfvo type="percentile" val="50"/>
        <cfvo type="max"/>
        <color theme="0"/>
        <color rgb="FFEFD8D7"/>
        <color theme="5" tint="0.39997558519241921"/>
      </colorScale>
    </cfRule>
  </conditionalFormatting>
  <conditionalFormatting sqref="T21:T29">
    <cfRule type="colorScale" priority="145">
      <colorScale>
        <cfvo type="min"/>
        <cfvo type="percentile" val="50"/>
        <cfvo type="max"/>
        <color theme="0"/>
        <color rgb="FFD2E0B6"/>
        <color theme="6"/>
      </colorScale>
    </cfRule>
  </conditionalFormatting>
  <conditionalFormatting sqref="Y21:Y29">
    <cfRule type="colorScale" priority="147">
      <colorScale>
        <cfvo type="min"/>
        <cfvo type="percentile" val="50"/>
        <cfvo type="max"/>
        <color theme="0"/>
        <color rgb="FFD2E0B6"/>
        <color theme="6"/>
      </colorScale>
    </cfRule>
  </conditionalFormatting>
  <conditionalFormatting sqref="AA21:AA29">
    <cfRule type="colorScale" priority="149">
      <colorScale>
        <cfvo type="min"/>
        <cfvo type="percentile" val="50"/>
        <cfvo type="max"/>
        <color theme="0"/>
        <color rgb="FFD2E0B6"/>
        <color theme="6"/>
      </colorScale>
    </cfRule>
  </conditionalFormatting>
  <printOptions horizontalCentered="1"/>
  <pageMargins left="0.5" right="0.5" top="0.75" bottom="0.5" header="0.3" footer="0.3"/>
  <pageSetup fitToWidth="2" orientation="landscape" r:id="rId1"/>
  <headerFooter scaleWithDoc="0" alignWithMargins="0">
    <oddFooter>&amp;LBonds&amp;RPage &amp;P of &amp;N</oddFooter>
  </headerFooter>
  <colBreaks count="1" manualBreakCount="1">
    <brk id="12" min="1" max="26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ℹ️ </vt:lpstr>
      <vt:lpstr>Financials</vt:lpstr>
      <vt:lpstr>Balance</vt:lpstr>
      <vt:lpstr>ProFormas</vt:lpstr>
      <vt:lpstr>PV</vt:lpstr>
      <vt:lpstr>FV</vt:lpstr>
      <vt:lpstr>IRR</vt:lpstr>
      <vt:lpstr>Annuities</vt:lpstr>
      <vt:lpstr>WACC</vt:lpstr>
      <vt:lpstr>Valuation</vt:lpstr>
      <vt:lpstr>Bonds</vt:lpstr>
      <vt:lpstr>Annuities!Print_Area</vt:lpstr>
      <vt:lpstr>Balance!Print_Area</vt:lpstr>
      <vt:lpstr>Financials!Print_Area</vt:lpstr>
      <vt:lpstr>FV!Print_Area</vt:lpstr>
      <vt:lpstr>IRR!Print_Area</vt:lpstr>
      <vt:lpstr>'ℹ️ '!Print_Area</vt:lpstr>
      <vt:lpstr>ProFormas!Print_Area</vt:lpstr>
      <vt:lpstr>PV!Print_Area</vt:lpstr>
      <vt:lpstr>Valuation!Print_Area</vt:lpstr>
      <vt:lpstr>WACC!Print_Area</vt:lpstr>
      <vt:lpstr>Annuities!Print_Titles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2026-10-05T01:34:45Z</dcterms:created>
  <dcterms:modified xsi:type="dcterms:W3CDTF">2026-10-05T01:36:19Z</dcterms:modified>
</cp:coreProperties>
</file>